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3615" windowHeight="1230" tabRatio="803" firstSheet="51" activeTab="62"/>
  </bookViews>
  <sheets>
    <sheet name="январь2012" sheetId="1" state="hidden" r:id="rId1"/>
    <sheet name="февраль2012" sheetId="2" state="hidden" r:id="rId2"/>
    <sheet name="март2012" sheetId="3" state="hidden" r:id="rId3"/>
    <sheet name="1 квартал" sheetId="4" state="hidden" r:id="rId4"/>
    <sheet name="апрель2012" sheetId="5" state="hidden" r:id="rId5"/>
    <sheet name="май 2012" sheetId="6" state="hidden" r:id="rId6"/>
    <sheet name="июнь 2012" sheetId="7" state="hidden" r:id="rId7"/>
    <sheet name="1 полугодие" sheetId="8" state="hidden" r:id="rId8"/>
    <sheet name="июль 2012" sheetId="9" state="hidden" r:id="rId9"/>
    <sheet name="Август 2012" sheetId="10" state="hidden" r:id="rId10"/>
    <sheet name="Сентябрь 2012" sheetId="11" state="hidden" r:id="rId11"/>
    <sheet name="Октябрь 2012" sheetId="12" state="hidden" r:id="rId12"/>
    <sheet name="Ноябрь 2012" sheetId="13" state="hidden" r:id="rId13"/>
    <sheet name="Декабрь 2012" sheetId="14" state="hidden" r:id="rId14"/>
    <sheet name="Январь 2013" sheetId="15" state="hidden" r:id="rId15"/>
    <sheet name="Февраль 2013" sheetId="16" state="hidden" r:id="rId16"/>
    <sheet name="Март 2013" sheetId="17" state="hidden" r:id="rId17"/>
    <sheet name="Апрель 2013" sheetId="18" state="hidden" r:id="rId18"/>
    <sheet name="Май2013" sheetId="19" state="hidden" r:id="rId19"/>
    <sheet name="Июнь2013" sheetId="20" state="hidden" r:id="rId20"/>
    <sheet name="Июль2013" sheetId="21" state="hidden" r:id="rId21"/>
    <sheet name="Август2013" sheetId="22" state="hidden" r:id="rId22"/>
    <sheet name="Сентябрь2013" sheetId="23" state="hidden" r:id="rId23"/>
    <sheet name="Сентябрь2013 кор-ка" sheetId="24" state="hidden" r:id="rId24"/>
    <sheet name="Октябрь 2013" sheetId="25" state="hidden" r:id="rId25"/>
    <sheet name="Ноябрь 2013" sheetId="26" state="hidden" r:id="rId26"/>
    <sheet name="Декабрь 2013" sheetId="27" state="hidden" r:id="rId27"/>
    <sheet name="Январь 2014" sheetId="28" state="hidden" r:id="rId28"/>
    <sheet name="Февраль 2014" sheetId="29" state="hidden" r:id="rId29"/>
    <sheet name="Март 2014" sheetId="30" state="hidden" r:id="rId30"/>
    <sheet name="Апрель 2014" sheetId="31" state="hidden" r:id="rId31"/>
    <sheet name="Май 2014" sheetId="32" state="hidden" r:id="rId32"/>
    <sheet name="Июнь 2014" sheetId="33" state="hidden" r:id="rId33"/>
    <sheet name="Июль 2014" sheetId="34" state="hidden" r:id="rId34"/>
    <sheet name="Август 2014" sheetId="35" state="hidden" r:id="rId35"/>
    <sheet name="Сентябрь 2014" sheetId="36" state="hidden" r:id="rId36"/>
    <sheet name="Октябрь 2014" sheetId="37" state="hidden" r:id="rId37"/>
    <sheet name="Ноябрь 2014" sheetId="38" state="hidden" r:id="rId38"/>
    <sheet name="Декабрь 2014" sheetId="39" state="hidden" r:id="rId39"/>
    <sheet name="Январь 2015" sheetId="40" state="hidden" r:id="rId40"/>
    <sheet name="1 2015" sheetId="41" state="hidden" r:id="rId41"/>
    <sheet name="Февраль 2015" sheetId="42" state="hidden" r:id="rId42"/>
    <sheet name="Март 2015" sheetId="43" state="hidden" r:id="rId43"/>
    <sheet name="Апрель 2015" sheetId="44" state="hidden" r:id="rId44"/>
    <sheet name="Май 2015" sheetId="45" state="hidden" r:id="rId45"/>
    <sheet name="Июнь 2015" sheetId="46" state="hidden" r:id="rId46"/>
    <sheet name="Июль 2015" sheetId="47" state="hidden" r:id="rId47"/>
    <sheet name="Август 2015" sheetId="48" state="hidden" r:id="rId48"/>
    <sheet name="Сентябрь 2015" sheetId="49" state="hidden" r:id="rId49"/>
    <sheet name="Октябрь 2015" sheetId="50" state="hidden" r:id="rId50"/>
    <sheet name="Ноябрь 2015" sheetId="51" state="hidden" r:id="rId51"/>
    <sheet name="Январь 2016" sheetId="52" r:id="rId52"/>
    <sheet name="Февраль 2016" sheetId="53" r:id="rId53"/>
    <sheet name="Март 2016 " sheetId="54" r:id="rId54"/>
    <sheet name="Апрель 2016" sheetId="55" r:id="rId55"/>
    <sheet name="Май 2016" sheetId="56" r:id="rId56"/>
    <sheet name="Июнь 2016" sheetId="57" r:id="rId57"/>
    <sheet name="Июль 2016" sheetId="58" r:id="rId58"/>
    <sheet name="Август 2016" sheetId="59" r:id="rId59"/>
    <sheet name="Сентябрь 2016" sheetId="60" r:id="rId60"/>
    <sheet name="Октябрь 2016" sheetId="61" r:id="rId61"/>
    <sheet name="Ноябрь 2016" sheetId="62" r:id="rId62"/>
    <sheet name="Декабрь 2016" sheetId="63" r:id="rId63"/>
    <sheet name="Лист2" sheetId="64" state="hidden" r:id="rId64"/>
  </sheets>
  <definedNames>
    <definedName name="_xlnm.Print_Area" localSheetId="40">'1 2015'!$A$1:$H$20</definedName>
    <definedName name="_xlnm.Print_Area" localSheetId="34">'Август 2014'!$A$1:$H$20</definedName>
    <definedName name="_xlnm.Print_Area" localSheetId="47">'Август 2015'!$A$1:$H$20</definedName>
    <definedName name="_xlnm.Print_Area" localSheetId="58">'Август 2016'!$A$1:$H$20</definedName>
    <definedName name="_xlnm.Print_Area" localSheetId="21">'Август2013'!$A$1:$H$29</definedName>
    <definedName name="_xlnm.Print_Area" localSheetId="17">'Апрель 2013'!$A$1:$H$29</definedName>
    <definedName name="_xlnm.Print_Area" localSheetId="30">'Апрель 2014'!$A$1:$H$20</definedName>
    <definedName name="_xlnm.Print_Area" localSheetId="43">'Апрель 2015'!$A$1:$H$20</definedName>
    <definedName name="_xlnm.Print_Area" localSheetId="54">'Апрель 2016'!$A$1:$H$20</definedName>
    <definedName name="_xlnm.Print_Area" localSheetId="13">'Декабрь 2012'!$A$1:$H$29</definedName>
    <definedName name="_xlnm.Print_Area" localSheetId="26">'Декабрь 2013'!$A$1:$H$29</definedName>
    <definedName name="_xlnm.Print_Area" localSheetId="38">'Декабрь 2014'!$A$1:$H$20</definedName>
    <definedName name="_xlnm.Print_Area" localSheetId="62">'Декабрь 2016'!$A$1:$H$20</definedName>
    <definedName name="_xlnm.Print_Area" localSheetId="33">'Июль 2014'!$A$1:$H$20</definedName>
    <definedName name="_xlnm.Print_Area" localSheetId="46">'Июль 2015'!$A$1:$H$20</definedName>
    <definedName name="_xlnm.Print_Area" localSheetId="57">'Июль 2016'!$A$1:$H$20</definedName>
    <definedName name="_xlnm.Print_Area" localSheetId="20">'Июль2013'!$A$1:$H$29</definedName>
    <definedName name="_xlnm.Print_Area" localSheetId="32">'Июнь 2014'!$A$1:$H$20</definedName>
    <definedName name="_xlnm.Print_Area" localSheetId="45">'Июнь 2015'!$A$1:$H$20</definedName>
    <definedName name="_xlnm.Print_Area" localSheetId="56">'Июнь 2016'!$A$1:$H$20</definedName>
    <definedName name="_xlnm.Print_Area" localSheetId="19">'Июнь2013'!$A$1:$H$29</definedName>
    <definedName name="_xlnm.Print_Area" localSheetId="31">'Май 2014'!$A$1:$H$20</definedName>
    <definedName name="_xlnm.Print_Area" localSheetId="44">'Май 2015'!$A$1:$H$20</definedName>
    <definedName name="_xlnm.Print_Area" localSheetId="55">'Май 2016'!$A$1:$H$20</definedName>
    <definedName name="_xlnm.Print_Area" localSheetId="18">'Май2013'!$A$1:$H$29</definedName>
    <definedName name="_xlnm.Print_Area" localSheetId="16">'Март 2013'!$A$1:$H$29</definedName>
    <definedName name="_xlnm.Print_Area" localSheetId="29">'Март 2014'!$A$1:$H$20</definedName>
    <definedName name="_xlnm.Print_Area" localSheetId="42">'Март 2015'!$A$1:$H$20</definedName>
    <definedName name="_xlnm.Print_Area" localSheetId="53">'Март 2016 '!$A$1:$H$20</definedName>
    <definedName name="_xlnm.Print_Area" localSheetId="2">'март2012'!$A$1:$H$26</definedName>
    <definedName name="_xlnm.Print_Area" localSheetId="12">'Ноябрь 2012'!$A$1:$H$28</definedName>
    <definedName name="_xlnm.Print_Area" localSheetId="25">'Ноябрь 2013'!$A$1:$H$29</definedName>
    <definedName name="_xlnm.Print_Area" localSheetId="37">'Ноябрь 2014'!$A$1:$H$20</definedName>
    <definedName name="_xlnm.Print_Area" localSheetId="50">'Ноябрь 2015'!$A$1:$H$20</definedName>
    <definedName name="_xlnm.Print_Area" localSheetId="61">'Ноябрь 2016'!$A$1:$H$20</definedName>
    <definedName name="_xlnm.Print_Area" localSheetId="24">'Октябрь 2013'!$A$1:$H$29</definedName>
    <definedName name="_xlnm.Print_Area" localSheetId="36">'Октябрь 2014'!$A$1:$H$20</definedName>
    <definedName name="_xlnm.Print_Area" localSheetId="49">'Октябрь 2015'!$A$1:$H$20</definedName>
    <definedName name="_xlnm.Print_Area" localSheetId="60">'Октябрь 2016'!$A$1:$H$20</definedName>
    <definedName name="_xlnm.Print_Area" localSheetId="48">'Сентябрь 2015'!$A$1:$H$20</definedName>
    <definedName name="_xlnm.Print_Area" localSheetId="59">'Сентябрь 2016'!$A$1:$H$20</definedName>
    <definedName name="_xlnm.Print_Area" localSheetId="22">'Сентябрь2013'!$A$1:$H$29</definedName>
    <definedName name="_xlnm.Print_Area" localSheetId="23">'Сентябрь2013 кор-ка'!$A$1:$H$29</definedName>
    <definedName name="_xlnm.Print_Area" localSheetId="15">'Февраль 2013'!$A$1:$H$29</definedName>
    <definedName name="_xlnm.Print_Area" localSheetId="28">'Февраль 2014'!$A$1:$H$20</definedName>
    <definedName name="_xlnm.Print_Area" localSheetId="41">'Февраль 2015'!$A$1:$H$20</definedName>
    <definedName name="_xlnm.Print_Area" localSheetId="52">'Февраль 2016'!$A$1:$H$20</definedName>
    <definedName name="_xlnm.Print_Area" localSheetId="1">'февраль2012'!$A$1:$H$26</definedName>
    <definedName name="_xlnm.Print_Area" localSheetId="14">'Январь 2013'!$A$1:$H$29</definedName>
    <definedName name="_xlnm.Print_Area" localSheetId="27">'Январь 2014'!$A$1:$H$20</definedName>
    <definedName name="_xlnm.Print_Area" localSheetId="39">'Январь 2015'!$A$1:$H$20</definedName>
    <definedName name="_xlnm.Print_Area" localSheetId="51">'Январь 2016'!$A$1:$H$20</definedName>
    <definedName name="_xlnm.Print_Area" localSheetId="0">'январь2012'!$A$1:$H$26</definedName>
  </definedNames>
  <calcPr fullCalcOnLoad="1"/>
</workbook>
</file>

<file path=xl/sharedStrings.xml><?xml version="1.0" encoding="utf-8"?>
<sst xmlns="http://schemas.openxmlformats.org/spreadsheetml/2006/main" count="2952" uniqueCount="117">
  <si>
    <t>ОАО "Магаданэлектросеть"</t>
  </si>
  <si>
    <t>1.1.</t>
  </si>
  <si>
    <t>тыс.кВтч</t>
  </si>
  <si>
    <t>Итого</t>
  </si>
  <si>
    <t> N  </t>
  </si>
  <si>
    <t>  Диапазон напряжения</t>
  </si>
  <si>
    <t>п/п </t>
  </si>
  <si>
    <t>Единица</t>
  </si>
  <si>
    <t>измерения</t>
  </si>
  <si>
    <t>BH </t>
  </si>
  <si>
    <t>CH-I </t>
  </si>
  <si>
    <t>СН-II</t>
  </si>
  <si>
    <t> НН</t>
  </si>
  <si>
    <t> 1</t>
  </si>
  <si>
    <t>2 </t>
  </si>
  <si>
    <t>3 </t>
  </si>
  <si>
    <t>4 </t>
  </si>
  <si>
    <t>5 </t>
  </si>
  <si>
    <t>6 </t>
  </si>
  <si>
    <t>7 </t>
  </si>
  <si>
    <t>  Показатель (группы потребителей с разбивкой тарифа по ставкам)</t>
  </si>
  <si>
    <t>по уровням напряжения   ОАО "Магаданэлектросеть"</t>
  </si>
  <si>
    <t>Информация  об объеме  фактического  полезного отпуска</t>
  </si>
  <si>
    <t xml:space="preserve"> электрической энергии по тарифным группам,</t>
  </si>
  <si>
    <t>Прочие потребители</t>
  </si>
  <si>
    <t>рассчитывающиеся по одноставочному тарифу, дифференцированному по числу часов использования заявленной мощности</t>
  </si>
  <si>
    <t>1.1.1</t>
  </si>
  <si>
    <t>1.1.2</t>
  </si>
  <si>
    <t>1.1.3</t>
  </si>
  <si>
    <t>1.1.4</t>
  </si>
  <si>
    <t>1.1.5</t>
  </si>
  <si>
    <t>от 7001 и выше</t>
  </si>
  <si>
    <t>от 6501 до 7000 часов</t>
  </si>
  <si>
    <t>от 6001 до 6500 часов</t>
  </si>
  <si>
    <t>от 5501 до 6000 часов</t>
  </si>
  <si>
    <t>от 5001 до 5500 часов</t>
  </si>
  <si>
    <t>1.1.6</t>
  </si>
  <si>
    <t>менее 5000 часов</t>
  </si>
  <si>
    <t>2</t>
  </si>
  <si>
    <t>Население</t>
  </si>
  <si>
    <t>Население и привавненные к нему категории потребителей</t>
  </si>
  <si>
    <t>январь 2012 года</t>
  </si>
  <si>
    <t>февраль 2012 года</t>
  </si>
  <si>
    <t>март 2012 года</t>
  </si>
  <si>
    <t>апрель 2012 года</t>
  </si>
  <si>
    <t>3</t>
  </si>
  <si>
    <t>рассчитывающиеся по одноставочному тарифу</t>
  </si>
  <si>
    <t xml:space="preserve">Прочие потребители </t>
  </si>
  <si>
    <t>май 2012 года</t>
  </si>
  <si>
    <t>Июнь  2012 года</t>
  </si>
  <si>
    <t>менее 5500 часов</t>
  </si>
  <si>
    <t>ГП ОАО  Оборонэнергосбыт</t>
  </si>
  <si>
    <t>3.1</t>
  </si>
  <si>
    <t>ГП ОАО  Оборонэнергосбыт филиал Камчатский</t>
  </si>
  <si>
    <t>4</t>
  </si>
  <si>
    <t>4.1</t>
  </si>
  <si>
    <t>Январь - Июнь  2012 года</t>
  </si>
  <si>
    <t>Январь - Март  2012 года</t>
  </si>
  <si>
    <t>Июль  2012 года</t>
  </si>
  <si>
    <t>Август  2012 года</t>
  </si>
  <si>
    <t>Сентябрь 2012 года</t>
  </si>
  <si>
    <t>Октябрь 2012 года</t>
  </si>
  <si>
    <t>Ноябрь 2012 года</t>
  </si>
  <si>
    <t>Декабрь 2012 года</t>
  </si>
  <si>
    <t>1.1.7</t>
  </si>
  <si>
    <t>от 5001 до 6000 часов</t>
  </si>
  <si>
    <t>Январь 2013 года</t>
  </si>
  <si>
    <t>Февраль 2013 года</t>
  </si>
  <si>
    <t>М А Р Т   2013 года</t>
  </si>
  <si>
    <t>А П Р Е Л Ь   2013 года</t>
  </si>
  <si>
    <t>М А Й   2013 года</t>
  </si>
  <si>
    <t>И Ю Н Ь   2013 года</t>
  </si>
  <si>
    <t>И Ю Л Ь   2013 года</t>
  </si>
  <si>
    <t>А В Г У С Т   2013 года</t>
  </si>
  <si>
    <t>С Е Н Т Я Б Р Ь   2013 года</t>
  </si>
  <si>
    <t>О К Т Я Б Р Ь   2013 года</t>
  </si>
  <si>
    <t>Н О Я Б Р Ь   2013 года</t>
  </si>
  <si>
    <t>Д Е К А Б Р Ь   2013 года</t>
  </si>
  <si>
    <t>Я Н В А Р Ь   2014 года</t>
  </si>
  <si>
    <t>1.1</t>
  </si>
  <si>
    <t>Ф Е В Р А Л Ь   2014 года</t>
  </si>
  <si>
    <t>М А Р Т   2014 года</t>
  </si>
  <si>
    <t>А П Р Е Л Ь   2014 года</t>
  </si>
  <si>
    <t>М А Й    2014 года</t>
  </si>
  <si>
    <t>И Ю Н Ь    2014 года</t>
  </si>
  <si>
    <t>И Ю Л Ь    2014 года</t>
  </si>
  <si>
    <t>А В Г У С Т    2014 года</t>
  </si>
  <si>
    <t>О К Т Я Б Р Ь    2014 года</t>
  </si>
  <si>
    <t>С Е Н Т Я Б Р Ь    2014 года</t>
  </si>
  <si>
    <t>Н О Я Б Р Ь    2014 года</t>
  </si>
  <si>
    <t>Д Е К А Б Р Ь    2014 года</t>
  </si>
  <si>
    <t>Я Н В А Р Ь    2015 года</t>
  </si>
  <si>
    <t>Ф Е В Р А Л Ь    2015 года</t>
  </si>
  <si>
    <t>М А Р Т     2015 года</t>
  </si>
  <si>
    <t>А П Р Е Л Ь     2015 года</t>
  </si>
  <si>
    <t>М А Й     2015 года</t>
  </si>
  <si>
    <t>И Ю Н Ь      2015 года</t>
  </si>
  <si>
    <t>И Ю Л Ь      2015 года</t>
  </si>
  <si>
    <t>А В Г У С Т      2015 года</t>
  </si>
  <si>
    <t>С Е Н Т Я Б Р Ь      2015 года</t>
  </si>
  <si>
    <t>О К Т Я Б Р Ь      2015 года</t>
  </si>
  <si>
    <t>Н О Я Б Р Ь      2015 года</t>
  </si>
  <si>
    <t>Я Н В А Р Ь   2016 года</t>
  </si>
  <si>
    <t>Ф Е В Р А Л Ь   2016 года</t>
  </si>
  <si>
    <t>М А Р Т Ь   2016 года</t>
  </si>
  <si>
    <t>А П Р Е Л Ь  2016 года</t>
  </si>
  <si>
    <t>Население и приравненные к нему категории потребителей</t>
  </si>
  <si>
    <t>М А Й  2016 года</t>
  </si>
  <si>
    <t>И Ю Н Ь  2016 года</t>
  </si>
  <si>
    <t>АО "Магаданэлектросеть"</t>
  </si>
  <si>
    <t>по уровням напряжения   АО "Магаданэлектросеть"</t>
  </si>
  <si>
    <t>И Ю Л Ь  2016 года</t>
  </si>
  <si>
    <t>А В Г У С Т  2016 года</t>
  </si>
  <si>
    <t>С Е Н Т Я Б Р Ь  2016 года</t>
  </si>
  <si>
    <t>О К Т Я Б Р Ь   2016 года</t>
  </si>
  <si>
    <t>Н О Я Б Р Ь   2016 года</t>
  </si>
  <si>
    <t>Д Е К А Б Р Ь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</si>
</sst>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0"/>
    <numFmt numFmtId="168" formatCode="#,##0.000_ ;[Red]\-#,##0.000\ "/>
    <numFmt numFmtId="169" formatCode="#,##0.000&quot;р.&quot;"/>
    <numFmt numFmtId="170" formatCode="0.00000"/>
    <numFmt numFmtId="171" formatCode="0.000000000"/>
    <numFmt numFmtId="172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i/>
      <sz val="10"/>
      <color indexed="60"/>
      <name val="Times New Roman"/>
      <family val="1"/>
    </font>
    <font>
      <i/>
      <sz val="11"/>
      <color indexed="2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5" tint="-0.24997000396251678"/>
      <name val="Times New Roman"/>
      <family val="1"/>
    </font>
    <font>
      <i/>
      <sz val="11"/>
      <color theme="5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 wrapText="1"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16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2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64" fontId="55" fillId="0" borderId="0" xfId="0" applyNumberFormat="1" applyFont="1" applyFill="1" applyAlignment="1">
      <alignment/>
    </xf>
    <xf numFmtId="49" fontId="7" fillId="0" borderId="3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 horizontal="center" wrapText="1"/>
    </xf>
    <xf numFmtId="1" fontId="7" fillId="0" borderId="33" xfId="0" applyNumberFormat="1" applyFont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1" fontId="7" fillId="0" borderId="33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2" fontId="7" fillId="0" borderId="2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164" fontId="2" fillId="34" borderId="14" xfId="0" applyNumberFormat="1" applyFont="1" applyFill="1" applyBorder="1" applyAlignment="1">
      <alignment horizontal="center" wrapText="1"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164" fontId="2" fillId="0" borderId="34" xfId="0" applyNumberFormat="1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164" fontId="2" fillId="34" borderId="13" xfId="0" applyNumberFormat="1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164" fontId="2" fillId="34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69" customWidth="1"/>
    <col min="2" max="2" width="42.00390625" style="45" customWidth="1"/>
    <col min="3" max="3" width="9.28125" style="45" customWidth="1"/>
    <col min="4" max="8" width="9.00390625" style="45" customWidth="1"/>
    <col min="9" max="9" width="11.00390625" style="45" customWidth="1"/>
    <col min="10" max="15" width="9.00390625" style="45" customWidth="1"/>
    <col min="16" max="16" width="10.28125" style="45" customWidth="1"/>
    <col min="17" max="16384" width="9.140625" style="45" customWidth="1"/>
  </cols>
  <sheetData>
    <row r="1" spans="1:16" ht="15.75">
      <c r="A1" s="42"/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</row>
    <row r="2" spans="1:16" ht="15.75">
      <c r="A2" s="141" t="s">
        <v>0</v>
      </c>
      <c r="B2" s="141"/>
      <c r="C2" s="141"/>
      <c r="D2" s="141"/>
      <c r="E2" s="141"/>
      <c r="F2" s="141"/>
      <c r="G2" s="141"/>
      <c r="H2" s="141"/>
      <c r="I2" s="47"/>
      <c r="J2" s="47"/>
      <c r="K2" s="47"/>
      <c r="L2" s="47"/>
      <c r="M2" s="47"/>
      <c r="N2" s="47"/>
      <c r="O2" s="47"/>
      <c r="P2" s="47"/>
    </row>
    <row r="3" spans="1:16" ht="15.75">
      <c r="A3" s="42"/>
      <c r="B3" s="46"/>
      <c r="C3" s="46"/>
      <c r="D3" s="46"/>
      <c r="E3" s="46"/>
      <c r="F3" s="46"/>
      <c r="G3" s="46"/>
      <c r="H3" s="46"/>
      <c r="I3" s="48"/>
      <c r="J3" s="48"/>
      <c r="K3" s="48"/>
      <c r="L3" s="48"/>
      <c r="M3" s="48"/>
      <c r="N3" s="48"/>
      <c r="O3" s="48"/>
      <c r="P3" s="48"/>
    </row>
    <row r="4" spans="1:16" ht="15.75">
      <c r="A4" s="141" t="s">
        <v>22</v>
      </c>
      <c r="B4" s="141"/>
      <c r="C4" s="141"/>
      <c r="D4" s="141"/>
      <c r="E4" s="141"/>
      <c r="F4" s="141"/>
      <c r="G4" s="141"/>
      <c r="H4" s="141"/>
      <c r="I4" s="47"/>
      <c r="J4" s="47"/>
      <c r="K4" s="47"/>
      <c r="L4" s="47"/>
      <c r="M4" s="47"/>
      <c r="N4" s="47"/>
      <c r="O4" s="47"/>
      <c r="P4" s="47"/>
    </row>
    <row r="5" spans="1:16" ht="15.75">
      <c r="A5" s="141" t="s">
        <v>23</v>
      </c>
      <c r="B5" s="141"/>
      <c r="C5" s="141"/>
      <c r="D5" s="141"/>
      <c r="E5" s="141"/>
      <c r="F5" s="141"/>
      <c r="G5" s="141"/>
      <c r="H5" s="141"/>
      <c r="I5" s="47"/>
      <c r="J5" s="47"/>
      <c r="K5" s="47"/>
      <c r="L5" s="47"/>
      <c r="M5" s="47"/>
      <c r="N5" s="47"/>
      <c r="O5" s="47"/>
      <c r="P5" s="47"/>
    </row>
    <row r="6" spans="1:16" ht="15.75">
      <c r="A6" s="141" t="s">
        <v>21</v>
      </c>
      <c r="B6" s="141"/>
      <c r="C6" s="141"/>
      <c r="D6" s="141"/>
      <c r="E6" s="141"/>
      <c r="F6" s="141"/>
      <c r="G6" s="141"/>
      <c r="H6" s="141"/>
      <c r="I6" s="44"/>
      <c r="J6" s="44"/>
      <c r="K6" s="44"/>
      <c r="L6" s="44"/>
      <c r="M6" s="44"/>
      <c r="N6" s="44"/>
      <c r="O6" s="44"/>
      <c r="P6" s="44"/>
    </row>
    <row r="7" spans="1:16" ht="15.75">
      <c r="A7" s="141" t="s">
        <v>41</v>
      </c>
      <c r="B7" s="141"/>
      <c r="C7" s="141"/>
      <c r="D7" s="141"/>
      <c r="E7" s="141"/>
      <c r="F7" s="141"/>
      <c r="G7" s="141"/>
      <c r="H7" s="141"/>
      <c r="I7" s="44"/>
      <c r="J7" s="44"/>
      <c r="K7" s="44"/>
      <c r="L7" s="44"/>
      <c r="M7" s="44"/>
      <c r="N7" s="44"/>
      <c r="O7" s="44"/>
      <c r="P7" s="44"/>
    </row>
    <row r="8" spans="1:16" ht="22.5" customHeight="1">
      <c r="A8" s="49"/>
      <c r="B8" s="50"/>
      <c r="C8" s="50"/>
      <c r="D8" s="50"/>
      <c r="E8" s="50"/>
      <c r="F8" s="50"/>
      <c r="G8" s="50"/>
      <c r="H8" s="50"/>
      <c r="I8" s="44"/>
      <c r="J8" s="44"/>
      <c r="K8" s="44"/>
      <c r="L8" s="44"/>
      <c r="M8" s="44"/>
      <c r="N8" s="44"/>
      <c r="O8" s="44"/>
      <c r="P8" s="44"/>
    </row>
    <row r="9" spans="1:16" ht="22.5" customHeight="1">
      <c r="A9" s="51" t="s">
        <v>4</v>
      </c>
      <c r="B9" s="143" t="s">
        <v>20</v>
      </c>
      <c r="C9" s="51"/>
      <c r="D9" s="143" t="s">
        <v>5</v>
      </c>
      <c r="E9" s="143"/>
      <c r="F9" s="143"/>
      <c r="G9" s="143"/>
      <c r="H9" s="52"/>
      <c r="I9" s="44"/>
      <c r="J9" s="44"/>
      <c r="K9" s="44"/>
      <c r="L9" s="44"/>
      <c r="M9" s="44"/>
      <c r="N9" s="44"/>
      <c r="O9" s="44"/>
      <c r="P9" s="44"/>
    </row>
    <row r="10" spans="1:16" ht="16.5" customHeight="1">
      <c r="A10" s="53" t="s">
        <v>6</v>
      </c>
      <c r="B10" s="142"/>
      <c r="C10" s="53" t="s">
        <v>7</v>
      </c>
      <c r="D10" s="142"/>
      <c r="E10" s="142"/>
      <c r="F10" s="142"/>
      <c r="G10" s="142"/>
      <c r="H10" s="54" t="s">
        <v>3</v>
      </c>
      <c r="I10" s="44"/>
      <c r="J10" s="44"/>
      <c r="K10" s="44"/>
      <c r="L10" s="44"/>
      <c r="M10" s="44"/>
      <c r="N10" s="44"/>
      <c r="O10" s="44"/>
      <c r="P10" s="44"/>
    </row>
    <row r="11" spans="1:16" ht="35.25" customHeight="1">
      <c r="A11" s="53"/>
      <c r="B11" s="142"/>
      <c r="C11" s="53" t="s">
        <v>8</v>
      </c>
      <c r="D11" s="53" t="s">
        <v>9</v>
      </c>
      <c r="E11" s="53" t="s">
        <v>10</v>
      </c>
      <c r="F11" s="53" t="s">
        <v>11</v>
      </c>
      <c r="G11" s="53" t="s">
        <v>12</v>
      </c>
      <c r="H11" s="54"/>
      <c r="I11" s="44"/>
      <c r="J11" s="44"/>
      <c r="K11" s="44"/>
      <c r="L11" s="44"/>
      <c r="M11" s="44"/>
      <c r="N11" s="44"/>
      <c r="O11" s="44"/>
      <c r="P11" s="44"/>
    </row>
    <row r="12" spans="1:16" ht="15.75">
      <c r="A12" s="55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54">
        <v>8</v>
      </c>
      <c r="I12" s="44"/>
      <c r="J12" s="44"/>
      <c r="K12" s="44"/>
      <c r="L12" s="44"/>
      <c r="M12" s="44"/>
      <c r="N12" s="44"/>
      <c r="O12" s="44"/>
      <c r="P12" s="44"/>
    </row>
    <row r="13" spans="1:16" ht="15.75">
      <c r="A13" s="56">
        <v>1</v>
      </c>
      <c r="B13" s="144" t="s">
        <v>24</v>
      </c>
      <c r="C13" s="144"/>
      <c r="D13" s="144"/>
      <c r="E13" s="144"/>
      <c r="F13" s="144"/>
      <c r="G13" s="144"/>
      <c r="H13" s="144"/>
      <c r="I13" s="44"/>
      <c r="J13" s="44"/>
      <c r="K13" s="44"/>
      <c r="L13" s="44"/>
      <c r="M13" s="44"/>
      <c r="N13" s="44"/>
      <c r="O13" s="44"/>
      <c r="P13" s="44"/>
    </row>
    <row r="14" spans="1:16" ht="33.75" customHeight="1">
      <c r="A14" s="55" t="s">
        <v>1</v>
      </c>
      <c r="B14" s="139" t="s">
        <v>25</v>
      </c>
      <c r="C14" s="139"/>
      <c r="D14" s="139"/>
      <c r="E14" s="139"/>
      <c r="F14" s="139"/>
      <c r="G14" s="139"/>
      <c r="H14" s="139"/>
      <c r="I14" s="44"/>
      <c r="J14" s="44"/>
      <c r="K14" s="44"/>
      <c r="L14" s="44"/>
      <c r="M14" s="44"/>
      <c r="N14" s="44"/>
      <c r="O14" s="44"/>
      <c r="P14" s="44"/>
    </row>
    <row r="15" spans="1:16" ht="17.25" customHeight="1">
      <c r="A15" s="55" t="s">
        <v>26</v>
      </c>
      <c r="B15" s="57" t="s">
        <v>31</v>
      </c>
      <c r="C15" s="53" t="s">
        <v>2</v>
      </c>
      <c r="D15" s="53">
        <v>0</v>
      </c>
      <c r="E15" s="53">
        <v>0</v>
      </c>
      <c r="F15" s="53">
        <v>1201.014</v>
      </c>
      <c r="G15" s="53">
        <v>392.911</v>
      </c>
      <c r="H15" s="54">
        <f aca="true" t="shared" si="0" ref="H15:H20">SUM(D15:G15)</f>
        <v>1593.925</v>
      </c>
      <c r="I15" s="44"/>
      <c r="J15" s="44"/>
      <c r="K15" s="44"/>
      <c r="L15" s="44"/>
      <c r="M15" s="44"/>
      <c r="N15" s="44"/>
      <c r="O15" s="44"/>
      <c r="P15" s="44"/>
    </row>
    <row r="16" spans="1:16" ht="17.25" customHeight="1">
      <c r="A16" s="55" t="s">
        <v>27</v>
      </c>
      <c r="B16" s="57" t="s">
        <v>32</v>
      </c>
      <c r="C16" s="53" t="s">
        <v>2</v>
      </c>
      <c r="D16" s="53">
        <v>0</v>
      </c>
      <c r="E16" s="53">
        <v>0</v>
      </c>
      <c r="F16" s="53">
        <v>0</v>
      </c>
      <c r="G16" s="53">
        <v>52.568</v>
      </c>
      <c r="H16" s="54">
        <f t="shared" si="0"/>
        <v>52.568</v>
      </c>
      <c r="I16" s="44"/>
      <c r="J16" s="44"/>
      <c r="K16" s="44"/>
      <c r="L16" s="44"/>
      <c r="M16" s="44"/>
      <c r="N16" s="44"/>
      <c r="O16" s="44"/>
      <c r="P16" s="44"/>
    </row>
    <row r="17" spans="1:256" ht="17.25" customHeight="1">
      <c r="A17" s="55" t="s">
        <v>28</v>
      </c>
      <c r="B17" s="57" t="s">
        <v>33</v>
      </c>
      <c r="C17" s="53" t="s">
        <v>2</v>
      </c>
      <c r="D17" s="53">
        <v>0</v>
      </c>
      <c r="E17" s="53">
        <v>0</v>
      </c>
      <c r="F17" s="53">
        <v>7.132</v>
      </c>
      <c r="G17" s="53">
        <v>87.521</v>
      </c>
      <c r="H17" s="54">
        <f t="shared" si="0"/>
        <v>94.653</v>
      </c>
      <c r="I17" s="58"/>
      <c r="J17" s="59"/>
      <c r="K17" s="60"/>
      <c r="L17" s="61"/>
      <c r="M17" s="60"/>
      <c r="N17" s="61"/>
      <c r="O17" s="60"/>
      <c r="P17" s="62"/>
      <c r="Q17" s="63"/>
      <c r="R17" s="59"/>
      <c r="S17" s="60"/>
      <c r="T17" s="61"/>
      <c r="U17" s="60"/>
      <c r="V17" s="61"/>
      <c r="W17" s="60"/>
      <c r="X17" s="62"/>
      <c r="Y17" s="63"/>
      <c r="Z17" s="59"/>
      <c r="AA17" s="60"/>
      <c r="AB17" s="61"/>
      <c r="AC17" s="60"/>
      <c r="AD17" s="61"/>
      <c r="AE17" s="60"/>
      <c r="AF17" s="62"/>
      <c r="AG17" s="63"/>
      <c r="AH17" s="59"/>
      <c r="AI17" s="60"/>
      <c r="AJ17" s="61"/>
      <c r="AK17" s="60"/>
      <c r="AL17" s="61"/>
      <c r="AM17" s="60"/>
      <c r="AN17" s="62"/>
      <c r="AO17" s="63"/>
      <c r="AP17" s="59"/>
      <c r="AQ17" s="60"/>
      <c r="AR17" s="61"/>
      <c r="AS17" s="60"/>
      <c r="AT17" s="61"/>
      <c r="AU17" s="60"/>
      <c r="AV17" s="62"/>
      <c r="AW17" s="63"/>
      <c r="AX17" s="59"/>
      <c r="AY17" s="60"/>
      <c r="AZ17" s="61"/>
      <c r="BA17" s="60"/>
      <c r="BB17" s="61"/>
      <c r="BC17" s="60"/>
      <c r="BD17" s="62"/>
      <c r="BE17" s="63"/>
      <c r="BF17" s="59"/>
      <c r="BG17" s="60"/>
      <c r="BH17" s="61"/>
      <c r="BI17" s="60"/>
      <c r="BJ17" s="61"/>
      <c r="BK17" s="60"/>
      <c r="BL17" s="62"/>
      <c r="BM17" s="63"/>
      <c r="BN17" s="59"/>
      <c r="BO17" s="60"/>
      <c r="BP17" s="61"/>
      <c r="BQ17" s="60"/>
      <c r="BR17" s="61"/>
      <c r="BS17" s="60"/>
      <c r="BT17" s="62"/>
      <c r="BU17" s="63"/>
      <c r="BV17" s="59"/>
      <c r="BW17" s="60"/>
      <c r="BX17" s="61"/>
      <c r="BY17" s="60"/>
      <c r="BZ17" s="61"/>
      <c r="CA17" s="60"/>
      <c r="CB17" s="62"/>
      <c r="CC17" s="63"/>
      <c r="CD17" s="59"/>
      <c r="CE17" s="60"/>
      <c r="CF17" s="61"/>
      <c r="CG17" s="60"/>
      <c r="CH17" s="61"/>
      <c r="CI17" s="60"/>
      <c r="CJ17" s="62"/>
      <c r="CK17" s="63"/>
      <c r="CL17" s="59"/>
      <c r="CM17" s="60"/>
      <c r="CN17" s="61"/>
      <c r="CO17" s="60"/>
      <c r="CP17" s="61"/>
      <c r="CQ17" s="60"/>
      <c r="CR17" s="62"/>
      <c r="CS17" s="63"/>
      <c r="CT17" s="59"/>
      <c r="CU17" s="60"/>
      <c r="CV17" s="61"/>
      <c r="CW17" s="60"/>
      <c r="CX17" s="61"/>
      <c r="CY17" s="60"/>
      <c r="CZ17" s="62"/>
      <c r="DA17" s="63"/>
      <c r="DB17" s="59"/>
      <c r="DC17" s="60"/>
      <c r="DD17" s="61"/>
      <c r="DE17" s="60"/>
      <c r="DF17" s="61"/>
      <c r="DG17" s="60"/>
      <c r="DH17" s="62"/>
      <c r="DI17" s="63"/>
      <c r="DJ17" s="59"/>
      <c r="DK17" s="60"/>
      <c r="DL17" s="61"/>
      <c r="DM17" s="60"/>
      <c r="DN17" s="61"/>
      <c r="DO17" s="60"/>
      <c r="DP17" s="62"/>
      <c r="DQ17" s="63"/>
      <c r="DR17" s="59"/>
      <c r="DS17" s="60"/>
      <c r="DT17" s="61"/>
      <c r="DU17" s="60"/>
      <c r="DV17" s="61"/>
      <c r="DW17" s="60"/>
      <c r="DX17" s="62"/>
      <c r="DY17" s="63"/>
      <c r="DZ17" s="59"/>
      <c r="EA17" s="60"/>
      <c r="EB17" s="61"/>
      <c r="EC17" s="60"/>
      <c r="ED17" s="61"/>
      <c r="EE17" s="60"/>
      <c r="EF17" s="62"/>
      <c r="EG17" s="63"/>
      <c r="EH17" s="59"/>
      <c r="EI17" s="60"/>
      <c r="EJ17" s="61"/>
      <c r="EK17" s="60"/>
      <c r="EL17" s="61"/>
      <c r="EM17" s="60"/>
      <c r="EN17" s="62"/>
      <c r="EO17" s="63"/>
      <c r="EP17" s="59"/>
      <c r="EQ17" s="60"/>
      <c r="ER17" s="61"/>
      <c r="ES17" s="60"/>
      <c r="ET17" s="61"/>
      <c r="EU17" s="60"/>
      <c r="EV17" s="62"/>
      <c r="EW17" s="63"/>
      <c r="EX17" s="59"/>
      <c r="EY17" s="60"/>
      <c r="EZ17" s="61"/>
      <c r="FA17" s="60"/>
      <c r="FB17" s="61"/>
      <c r="FC17" s="60"/>
      <c r="FD17" s="62"/>
      <c r="FE17" s="63"/>
      <c r="FF17" s="59"/>
      <c r="FG17" s="60"/>
      <c r="FH17" s="61"/>
      <c r="FI17" s="60"/>
      <c r="FJ17" s="61"/>
      <c r="FK17" s="60"/>
      <c r="FL17" s="62"/>
      <c r="FM17" s="63"/>
      <c r="FN17" s="59"/>
      <c r="FO17" s="60"/>
      <c r="FP17" s="61"/>
      <c r="FQ17" s="60"/>
      <c r="FR17" s="61"/>
      <c r="FS17" s="60"/>
      <c r="FT17" s="62"/>
      <c r="FU17" s="63"/>
      <c r="FV17" s="59"/>
      <c r="FW17" s="60"/>
      <c r="FX17" s="61"/>
      <c r="FY17" s="60"/>
      <c r="FZ17" s="61"/>
      <c r="GA17" s="60"/>
      <c r="GB17" s="62"/>
      <c r="GC17" s="63"/>
      <c r="GD17" s="59"/>
      <c r="GE17" s="60"/>
      <c r="GF17" s="61"/>
      <c r="GG17" s="60"/>
      <c r="GH17" s="61"/>
      <c r="GI17" s="60"/>
      <c r="GJ17" s="62"/>
      <c r="GK17" s="63"/>
      <c r="GL17" s="59"/>
      <c r="GM17" s="60"/>
      <c r="GN17" s="61"/>
      <c r="GO17" s="60"/>
      <c r="GP17" s="61"/>
      <c r="GQ17" s="60"/>
      <c r="GR17" s="62"/>
      <c r="GS17" s="63"/>
      <c r="GT17" s="59"/>
      <c r="GU17" s="60"/>
      <c r="GV17" s="61"/>
      <c r="GW17" s="60"/>
      <c r="GX17" s="61"/>
      <c r="GY17" s="60"/>
      <c r="GZ17" s="62"/>
      <c r="HA17" s="63"/>
      <c r="HB17" s="59"/>
      <c r="HC17" s="60"/>
      <c r="HD17" s="61"/>
      <c r="HE17" s="60"/>
      <c r="HF17" s="61"/>
      <c r="HG17" s="60"/>
      <c r="HH17" s="62"/>
      <c r="HI17" s="63"/>
      <c r="HJ17" s="59"/>
      <c r="HK17" s="60"/>
      <c r="HL17" s="61"/>
      <c r="HM17" s="60"/>
      <c r="HN17" s="61"/>
      <c r="HO17" s="60"/>
      <c r="HP17" s="62"/>
      <c r="HQ17" s="63"/>
      <c r="HR17" s="59"/>
      <c r="HS17" s="60"/>
      <c r="HT17" s="61"/>
      <c r="HU17" s="60"/>
      <c r="HV17" s="61"/>
      <c r="HW17" s="60"/>
      <c r="HX17" s="62"/>
      <c r="HY17" s="63"/>
      <c r="HZ17" s="59"/>
      <c r="IA17" s="60"/>
      <c r="IB17" s="61"/>
      <c r="IC17" s="60"/>
      <c r="ID17" s="61"/>
      <c r="IE17" s="60"/>
      <c r="IF17" s="62"/>
      <c r="IG17" s="63"/>
      <c r="IH17" s="59"/>
      <c r="II17" s="60"/>
      <c r="IJ17" s="61"/>
      <c r="IK17" s="60"/>
      <c r="IL17" s="61"/>
      <c r="IM17" s="60"/>
      <c r="IN17" s="62"/>
      <c r="IO17" s="63"/>
      <c r="IP17" s="59"/>
      <c r="IQ17" s="60"/>
      <c r="IR17" s="61"/>
      <c r="IS17" s="60"/>
      <c r="IT17" s="61"/>
      <c r="IU17" s="60"/>
      <c r="IV17" s="62"/>
    </row>
    <row r="18" spans="1:16" ht="17.25" customHeight="1">
      <c r="A18" s="55" t="s">
        <v>29</v>
      </c>
      <c r="B18" s="57" t="s">
        <v>34</v>
      </c>
      <c r="C18" s="53" t="s">
        <v>2</v>
      </c>
      <c r="D18" s="53">
        <v>0</v>
      </c>
      <c r="E18" s="53">
        <v>0</v>
      </c>
      <c r="F18" s="53">
        <v>0</v>
      </c>
      <c r="G18" s="53">
        <v>18.621</v>
      </c>
      <c r="H18" s="54">
        <f t="shared" si="0"/>
        <v>18.621</v>
      </c>
      <c r="I18" s="44"/>
      <c r="J18" s="44"/>
      <c r="K18" s="44"/>
      <c r="L18" s="44"/>
      <c r="M18" s="44"/>
      <c r="N18" s="44"/>
      <c r="O18" s="44"/>
      <c r="P18" s="44"/>
    </row>
    <row r="19" spans="1:16" ht="17.25" customHeight="1">
      <c r="A19" s="55" t="s">
        <v>30</v>
      </c>
      <c r="B19" s="57" t="s">
        <v>35</v>
      </c>
      <c r="C19" s="53" t="s">
        <v>2</v>
      </c>
      <c r="D19" s="53">
        <v>0</v>
      </c>
      <c r="E19" s="53">
        <v>0</v>
      </c>
      <c r="F19" s="53">
        <v>0</v>
      </c>
      <c r="G19" s="53">
        <v>0</v>
      </c>
      <c r="H19" s="54">
        <f t="shared" si="0"/>
        <v>0</v>
      </c>
      <c r="I19" s="44"/>
      <c r="J19" s="44"/>
      <c r="K19" s="44"/>
      <c r="L19" s="44"/>
      <c r="M19" s="44"/>
      <c r="N19" s="44"/>
      <c r="O19" s="44"/>
      <c r="P19" s="44"/>
    </row>
    <row r="20" spans="1:16" ht="17.25" customHeight="1">
      <c r="A20" s="55" t="s">
        <v>36</v>
      </c>
      <c r="B20" s="57" t="s">
        <v>50</v>
      </c>
      <c r="C20" s="53" t="s">
        <v>2</v>
      </c>
      <c r="D20" s="53">
        <v>0</v>
      </c>
      <c r="E20" s="53">
        <v>0</v>
      </c>
      <c r="F20" s="53">
        <v>5371.511</v>
      </c>
      <c r="G20" s="53">
        <v>7655.359</v>
      </c>
      <c r="H20" s="54">
        <f t="shared" si="0"/>
        <v>13026.87</v>
      </c>
      <c r="I20" s="64">
        <f>SUM(H15:H20)</f>
        <v>14786.637</v>
      </c>
      <c r="J20" s="44"/>
      <c r="K20" s="44"/>
      <c r="L20" s="44"/>
      <c r="M20" s="44"/>
      <c r="N20" s="44"/>
      <c r="O20" s="44"/>
      <c r="P20" s="44"/>
    </row>
    <row r="21" spans="1:16" ht="17.25" customHeight="1">
      <c r="A21" s="56" t="s">
        <v>38</v>
      </c>
      <c r="B21" s="139" t="s">
        <v>51</v>
      </c>
      <c r="C21" s="139"/>
      <c r="D21" s="139"/>
      <c r="E21" s="139"/>
      <c r="F21" s="139"/>
      <c r="G21" s="139"/>
      <c r="H21" s="139"/>
      <c r="I21" s="64"/>
      <c r="J21" s="44"/>
      <c r="K21" s="44"/>
      <c r="L21" s="44"/>
      <c r="M21" s="44"/>
      <c r="N21" s="44"/>
      <c r="O21" s="44"/>
      <c r="P21" s="44"/>
    </row>
    <row r="22" spans="1:16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15.769</v>
      </c>
      <c r="H22" s="54">
        <f>SUM(D22:G22)</f>
        <v>15.769</v>
      </c>
      <c r="I22" s="64"/>
      <c r="J22" s="44"/>
      <c r="K22" s="44"/>
      <c r="L22" s="44"/>
      <c r="M22" s="44"/>
      <c r="N22" s="44"/>
      <c r="O22" s="44"/>
      <c r="P22" s="44"/>
    </row>
    <row r="23" spans="1:8" ht="15">
      <c r="A23" s="56" t="s">
        <v>45</v>
      </c>
      <c r="B23" s="139" t="s">
        <v>39</v>
      </c>
      <c r="C23" s="139"/>
      <c r="D23" s="139"/>
      <c r="E23" s="139"/>
      <c r="F23" s="139"/>
      <c r="G23" s="139"/>
      <c r="H23" s="139"/>
    </row>
    <row r="24" spans="1:8" ht="30">
      <c r="A24" s="55" t="s">
        <v>52</v>
      </c>
      <c r="B24" s="65" t="s">
        <v>40</v>
      </c>
      <c r="C24" s="53" t="s">
        <v>2</v>
      </c>
      <c r="D24" s="142">
        <v>7829.543</v>
      </c>
      <c r="E24" s="142"/>
      <c r="F24" s="142"/>
      <c r="G24" s="142"/>
      <c r="H24" s="54">
        <f>SUM(D24:G24)</f>
        <v>7829.543</v>
      </c>
    </row>
    <row r="25" spans="1:8" ht="15">
      <c r="A25" s="66"/>
      <c r="B25" s="67"/>
      <c r="C25" s="67"/>
      <c r="D25" s="67"/>
      <c r="E25" s="67"/>
      <c r="F25" s="67"/>
      <c r="G25" s="67"/>
      <c r="H25" s="67"/>
    </row>
    <row r="26" spans="1:8" s="68" customFormat="1" ht="15">
      <c r="A26" s="66"/>
      <c r="B26" s="67" t="s">
        <v>3</v>
      </c>
      <c r="C26" s="67" t="s">
        <v>2</v>
      </c>
      <c r="D26" s="54"/>
      <c r="E26" s="54"/>
      <c r="F26" s="54"/>
      <c r="G26" s="54"/>
      <c r="H26" s="54">
        <f>SUM(H13:H24)</f>
        <v>22631.949</v>
      </c>
    </row>
    <row r="28" spans="2:8" ht="15.75">
      <c r="B28" s="44"/>
      <c r="C28" s="44"/>
      <c r="D28" s="44"/>
      <c r="E28" s="44"/>
      <c r="F28" s="44"/>
      <c r="G28" s="44"/>
      <c r="H28" s="44"/>
    </row>
    <row r="29" spans="1:8" ht="15.75">
      <c r="A29" s="140"/>
      <c r="B29" s="140"/>
      <c r="C29" s="140"/>
      <c r="D29" s="140"/>
      <c r="E29" s="140"/>
      <c r="F29" s="140"/>
      <c r="G29" s="140"/>
      <c r="H29" s="140"/>
    </row>
    <row r="30" spans="2:8" ht="15.75">
      <c r="B30" s="48"/>
      <c r="C30" s="48"/>
      <c r="D30" s="48"/>
      <c r="E30" s="48"/>
      <c r="F30" s="48"/>
      <c r="G30" s="48"/>
      <c r="H30" s="48"/>
    </row>
  </sheetData>
  <sheetProtection/>
  <mergeCells count="13">
    <mergeCell ref="A7:H7"/>
    <mergeCell ref="B13:H13"/>
    <mergeCell ref="B21:H21"/>
    <mergeCell ref="B14:H14"/>
    <mergeCell ref="A29:H29"/>
    <mergeCell ref="B23:H23"/>
    <mergeCell ref="A2:H2"/>
    <mergeCell ref="A4:H4"/>
    <mergeCell ref="A5:H5"/>
    <mergeCell ref="A6:H6"/>
    <mergeCell ref="D24:G24"/>
    <mergeCell ref="B9:B11"/>
    <mergeCell ref="D9:G10"/>
  </mergeCells>
  <printOptions/>
  <pageMargins left="0.1968503937007874" right="0" top="0.15748031496062992" bottom="0.15748031496062992" header="0.31496062992125984" footer="0.31496062992125984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59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35">
        <v>0</v>
      </c>
      <c r="H17" s="21">
        <f t="shared" si="0"/>
        <v>0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35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35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0</v>
      </c>
      <c r="G20" s="116">
        <v>13.022397</v>
      </c>
      <c r="H20" s="21">
        <f t="shared" si="0"/>
        <v>13.022397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9.00165</v>
      </c>
      <c r="H22" s="54">
        <f>SUM(D22:G22)</f>
        <v>9.00165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14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3771.726057</v>
      </c>
      <c r="G24" s="10">
        <v>7040.103931</v>
      </c>
      <c r="H24" s="22">
        <f>SUM(D24:G24)</f>
        <v>10811.829988</v>
      </c>
      <c r="I24" s="39">
        <f>SUM(H15:H20)+H24</f>
        <v>10824.852385</v>
      </c>
      <c r="K24" s="115"/>
      <c r="N24" s="115"/>
    </row>
    <row r="25" spans="1:8" ht="15">
      <c r="A25" s="31" t="s">
        <v>54</v>
      </c>
      <c r="B25" s="163" t="s">
        <v>39</v>
      </c>
      <c r="C25" s="164"/>
      <c r="D25" s="164"/>
      <c r="E25" s="164"/>
      <c r="F25" s="164"/>
      <c r="G25" s="164"/>
      <c r="H25" s="165"/>
    </row>
    <row r="26" spans="1:8" ht="30">
      <c r="A26" s="33" t="s">
        <v>55</v>
      </c>
      <c r="B26" s="34" t="s">
        <v>40</v>
      </c>
      <c r="C26" s="35" t="s">
        <v>2</v>
      </c>
      <c r="D26" s="145">
        <v>7419.142</v>
      </c>
      <c r="E26" s="146"/>
      <c r="F26" s="146"/>
      <c r="G26" s="147"/>
      <c r="H26" s="36">
        <f>SUM(D26:G26)</f>
        <v>7419.142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18252.996035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60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116">
        <v>-38.521</v>
      </c>
      <c r="H20" s="36">
        <f t="shared" si="0"/>
        <v>-38.521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12.8058</v>
      </c>
      <c r="H22" s="118">
        <f>SUM(D22:G22)</f>
        <v>12.8058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4198.755858</v>
      </c>
      <c r="G24" s="53">
        <v>7818.345555</v>
      </c>
      <c r="H24" s="77">
        <f>SUM(D24:G24)</f>
        <v>12017.101413</v>
      </c>
      <c r="I24" s="39">
        <f>SUM(H15:H20)+H24</f>
        <v>11978.580413</v>
      </c>
      <c r="K24" s="115"/>
      <c r="N24" s="115"/>
    </row>
    <row r="25" spans="1:8" ht="15">
      <c r="A25" s="31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v>9014.587</v>
      </c>
      <c r="E26" s="146"/>
      <c r="F26" s="146"/>
      <c r="G26" s="147"/>
      <c r="H26" s="36">
        <f>SUM(D26:G26)</f>
        <v>9014.587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21005.973212999997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61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11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210.052</v>
      </c>
      <c r="G20" s="116">
        <v>-208.059</v>
      </c>
      <c r="H20" s="36">
        <f t="shared" si="0"/>
        <v>1.992999999999995</v>
      </c>
      <c r="K20" s="115">
        <f>H20+H22+H24</f>
        <v>15073.556986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11.96685</v>
      </c>
      <c r="H22" s="118">
        <f>SUM(D22:G22)</f>
        <v>11.96685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6517.90444</v>
      </c>
      <c r="G24" s="53">
        <v>8541.692696</v>
      </c>
      <c r="H24" s="77">
        <f>SUM(D24:G24)</f>
        <v>15059.597136</v>
      </c>
      <c r="I24" s="39">
        <f>SUM(H15:H20)+H24</f>
        <v>15061.590136</v>
      </c>
      <c r="K24" s="115"/>
      <c r="N24" s="115"/>
    </row>
    <row r="25" spans="1:8" ht="15">
      <c r="A25" s="31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v>8986.655</v>
      </c>
      <c r="E26" s="146"/>
      <c r="F26" s="146"/>
      <c r="G26" s="147"/>
      <c r="H26" s="36">
        <f>SUM(D26:G26)</f>
        <v>8986.655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24060.211986000002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="60"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7" width="10.28125" style="4" customWidth="1"/>
    <col min="8" max="8" width="9.00390625" style="4" customWidth="1"/>
    <col min="9" max="9" width="9.140625" style="4" hidden="1" customWidth="1"/>
    <col min="10" max="10" width="9.140625" style="4" customWidth="1"/>
    <col min="11" max="11" width="11.57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62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11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119">
        <v>0</v>
      </c>
      <c r="H20" s="36">
        <f t="shared" si="0"/>
        <v>0</v>
      </c>
      <c r="K20" s="115">
        <f>H20+H22+H24</f>
        <v>14002.588932999999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7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24.444</v>
      </c>
      <c r="H22" s="120">
        <f>SUM(D22:G22)</f>
        <v>24.444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7943.76883</v>
      </c>
      <c r="G24" s="114">
        <v>6034.376103</v>
      </c>
      <c r="H24" s="77">
        <f>SUM(D24:G24)</f>
        <v>13978.144933</v>
      </c>
      <c r="I24" s="39">
        <f>SUM(H15:H20)+H24</f>
        <v>13978.144933</v>
      </c>
      <c r="K24" s="115"/>
      <c r="N24" s="115"/>
    </row>
    <row r="25" spans="1:8" ht="15">
      <c r="A25" s="31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v>9242.712</v>
      </c>
      <c r="E26" s="146"/>
      <c r="F26" s="146"/>
      <c r="G26" s="147"/>
      <c r="H26" s="36">
        <f>SUM(D26:G26)</f>
        <v>9242.712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23245.300933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106" zoomScaleSheetLayoutView="106" zoomScalePageLayoutView="0" workbookViewId="0" topLeftCell="A1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1.57421875" style="45" bestFit="1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63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1031.252035</v>
      </c>
      <c r="H18" s="36">
        <f>SUM(D18:G18)</f>
        <v>1031.252035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f>103550.587455-104582.49749</f>
        <v>-1031.9100349999935</v>
      </c>
      <c r="H21" s="36">
        <f t="shared" si="0"/>
        <v>-1031.9100349999935</v>
      </c>
      <c r="K21" s="122">
        <f>H21+H23+H25</f>
        <v>27920.625429000007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31.67325</v>
      </c>
      <c r="H23" s="120">
        <f>SUM(D23:G23)</f>
        <v>31.67325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12731.813083</v>
      </c>
      <c r="G25" s="114">
        <f>16146.929131+42.12</f>
        <v>16189.049131000002</v>
      </c>
      <c r="H25" s="77">
        <f>SUM(D25:G25)</f>
        <v>28920.862214</v>
      </c>
      <c r="I25" s="92">
        <f>SUM(H15:H21)+H25</f>
        <v>28920.20421400001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11950.349</v>
      </c>
      <c r="E27" s="146"/>
      <c r="F27" s="146"/>
      <c r="G27" s="147"/>
      <c r="H27" s="36">
        <f>SUM(D27:G27)</f>
        <v>11950.349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40902.22646400001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66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f>-52.505+0.177044</f>
        <v>-52.327956</v>
      </c>
      <c r="H21" s="36">
        <f t="shared" si="0"/>
        <v>-52.327956</v>
      </c>
      <c r="K21" s="124">
        <f>H21+H23+H25</f>
        <v>15207.403126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56.290209</v>
      </c>
      <c r="H23" s="120">
        <f>SUM(D23:G23)</f>
        <v>56.290209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7459.689462</v>
      </c>
      <c r="G25" s="114">
        <f>7743.751411</f>
        <v>7743.751411</v>
      </c>
      <c r="H25" s="77">
        <f>SUM(D25:G25)</f>
        <v>15203.440873</v>
      </c>
      <c r="I25" s="92">
        <f>SUM(H15:H21)+H25</f>
        <v>15151.112917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9644.495</v>
      </c>
      <c r="E27" s="146"/>
      <c r="F27" s="146"/>
      <c r="G27" s="147"/>
      <c r="H27" s="36">
        <f>SUM(D27:G27)</f>
        <v>9644.495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24851.898126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67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36">
        <f t="shared" si="0"/>
        <v>0</v>
      </c>
      <c r="K21" s="124">
        <f>H21+H23+H25</f>
        <v>23486.288075999997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73.74963</v>
      </c>
      <c r="H23" s="120">
        <f>SUM(D23:G23)</f>
        <v>73.74963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10593.224946</v>
      </c>
      <c r="G25" s="114">
        <v>12819.3135</v>
      </c>
      <c r="H25" s="77">
        <f>SUM(D25:G25)</f>
        <v>23412.538446</v>
      </c>
      <c r="I25" s="92">
        <f>SUM(H15:H21)+H25</f>
        <v>23412.538446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10778.41</v>
      </c>
      <c r="E27" s="146"/>
      <c r="F27" s="146"/>
      <c r="G27" s="147"/>
      <c r="H27" s="36">
        <f>SUM(D27:G27)</f>
        <v>10778.41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34264.698076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68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-0.182546</v>
      </c>
      <c r="H21" s="125">
        <f t="shared" si="0"/>
        <v>-0.182546</v>
      </c>
      <c r="K21" s="124">
        <f>H21+H23+H25</f>
        <v>21885.052874000005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63.725631</v>
      </c>
      <c r="H23" s="120">
        <f>SUM(D23:G23)</f>
        <v>63.725631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10162.362467</v>
      </c>
      <c r="G25" s="114">
        <f>11479.548322+179.599</f>
        <v>11659.147322</v>
      </c>
      <c r="H25" s="77">
        <f>SUM(D25:G25)</f>
        <v>21821.509789000003</v>
      </c>
      <c r="I25" s="92">
        <f>SUM(H15:H21)+H25</f>
        <v>21821.327243000003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10480.073</v>
      </c>
      <c r="E27" s="146"/>
      <c r="F27" s="146"/>
      <c r="G27" s="147"/>
      <c r="H27" s="36">
        <f>SUM(D27:G27)</f>
        <v>10480.073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32365.125874000005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69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-4.376</v>
      </c>
      <c r="H21" s="125">
        <f t="shared" si="0"/>
        <v>-4.376</v>
      </c>
      <c r="K21" s="124">
        <f>H21+H23+H25</f>
        <v>21299.498057999997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65.088557</v>
      </c>
      <c r="H23" s="120">
        <f>SUM(D23:G23)</f>
        <v>65.088557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9808.311984</v>
      </c>
      <c r="G25" s="114">
        <f>11134.954399+296.112-0.592882</f>
        <v>11430.473516999999</v>
      </c>
      <c r="H25" s="77">
        <f>SUM(D25:G25)</f>
        <v>21238.785501</v>
      </c>
      <c r="I25" s="92">
        <f>SUM(H15:H21)+H25</f>
        <v>21234.409501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10337.249</v>
      </c>
      <c r="E27" s="146"/>
      <c r="F27" s="146"/>
      <c r="G27" s="147"/>
      <c r="H27" s="36">
        <f>SUM(D27:G27)</f>
        <v>10337.249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31636.747057999997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70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16362.549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28.464</v>
      </c>
      <c r="H23" s="120">
        <f>SUM(D23:G23)</f>
        <v>28.464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7791.179</v>
      </c>
      <c r="G25" s="114">
        <v>8542.906</v>
      </c>
      <c r="H25" s="77">
        <f>SUM(D25:G25)</f>
        <v>16334.085000000001</v>
      </c>
      <c r="I25" s="92">
        <f>SUM(H15:H21)+H25</f>
        <v>16334.085000000001</v>
      </c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9182.662</v>
      </c>
      <c r="E27" s="146"/>
      <c r="F27" s="146"/>
      <c r="G27" s="147"/>
      <c r="H27" s="36">
        <f>SUM(D27:G27)</f>
        <v>9182.662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25545.211000000003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69" customWidth="1"/>
    <col min="2" max="2" width="40.8515625" style="45" customWidth="1"/>
    <col min="3" max="3" width="9.28125" style="45" customWidth="1"/>
    <col min="4" max="6" width="9.00390625" style="45" customWidth="1"/>
    <col min="7" max="7" width="10.140625" style="45" customWidth="1"/>
    <col min="8" max="8" width="11.00390625" style="45" customWidth="1"/>
    <col min="9" max="9" width="11.28125" style="45" bestFit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5.75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42</v>
      </c>
      <c r="B7" s="140"/>
      <c r="C7" s="140"/>
      <c r="D7" s="140"/>
      <c r="E7" s="140"/>
      <c r="F7" s="140"/>
      <c r="G7" s="140"/>
      <c r="H7" s="140"/>
    </row>
    <row r="8" spans="2:8" ht="22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966.033</v>
      </c>
      <c r="G15" s="35">
        <v>435.355</v>
      </c>
      <c r="H15" s="36">
        <f aca="true" t="shared" si="0" ref="H15:H20">SUM(D15:G15)</f>
        <v>1401.388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131.103</v>
      </c>
      <c r="H16" s="36">
        <f t="shared" si="0"/>
        <v>131.103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19.64</v>
      </c>
      <c r="G17" s="35">
        <v>274.484</v>
      </c>
      <c r="H17" s="36">
        <f t="shared" si="0"/>
        <v>294.12399999999997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39.765</v>
      </c>
      <c r="H18" s="36">
        <f t="shared" si="0"/>
        <v>39.765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9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8150.113</v>
      </c>
      <c r="G20" s="35">
        <v>15063.675</v>
      </c>
      <c r="H20" s="36">
        <f t="shared" si="0"/>
        <v>23213.788</v>
      </c>
      <c r="I20" s="81">
        <f>SUM(H15:H20)</f>
        <v>25080.168</v>
      </c>
    </row>
    <row r="21" spans="1:9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  <c r="I21" s="81"/>
    </row>
    <row r="22" spans="1:9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26.084</v>
      </c>
      <c r="H22" s="54">
        <f>SUM(D22:G22)</f>
        <v>26.084</v>
      </c>
      <c r="I22" s="81"/>
    </row>
    <row r="23" spans="1:8" ht="15">
      <c r="A23" s="78" t="s">
        <v>45</v>
      </c>
      <c r="B23" s="159" t="s">
        <v>39</v>
      </c>
      <c r="C23" s="160"/>
      <c r="D23" s="160"/>
      <c r="E23" s="160"/>
      <c r="F23" s="160"/>
      <c r="G23" s="160"/>
      <c r="H23" s="161"/>
    </row>
    <row r="24" spans="1:8" ht="30">
      <c r="A24" s="33" t="s">
        <v>52</v>
      </c>
      <c r="B24" s="34" t="s">
        <v>40</v>
      </c>
      <c r="C24" s="35" t="s">
        <v>2</v>
      </c>
      <c r="D24" s="145">
        <v>11313.604</v>
      </c>
      <c r="E24" s="146"/>
      <c r="F24" s="146"/>
      <c r="G24" s="147"/>
      <c r="H24" s="36">
        <f>SUM(D24:G24)</f>
        <v>11313.604</v>
      </c>
    </row>
    <row r="25" spans="1:8" ht="15">
      <c r="A25" s="82"/>
      <c r="B25" s="83"/>
      <c r="C25" s="84"/>
      <c r="D25" s="83"/>
      <c r="E25" s="84"/>
      <c r="F25" s="83"/>
      <c r="G25" s="84"/>
      <c r="H25" s="85"/>
    </row>
    <row r="26" spans="1:8" s="68" customFormat="1" ht="15.75" thickBot="1">
      <c r="A26" s="86"/>
      <c r="B26" s="87" t="s">
        <v>3</v>
      </c>
      <c r="C26" s="88" t="s">
        <v>2</v>
      </c>
      <c r="D26" s="89"/>
      <c r="E26" s="89"/>
      <c r="F26" s="89"/>
      <c r="G26" s="89"/>
      <c r="H26" s="90">
        <f>SUM(H13:H24)</f>
        <v>36419.856</v>
      </c>
    </row>
  </sheetData>
  <sheetProtection/>
  <mergeCells count="12">
    <mergeCell ref="A2:H2"/>
    <mergeCell ref="A4:H4"/>
    <mergeCell ref="A5:H5"/>
    <mergeCell ref="A6:H6"/>
    <mergeCell ref="B23:H23"/>
    <mergeCell ref="B21:H21"/>
    <mergeCell ref="D24:G24"/>
    <mergeCell ref="A7:H7"/>
    <mergeCell ref="B9:B11"/>
    <mergeCell ref="D9:G10"/>
    <mergeCell ref="B13:H13"/>
    <mergeCell ref="B14:H14"/>
  </mergeCells>
  <printOptions/>
  <pageMargins left="0.1968503937007874" right="0" top="0.15748031496062992" bottom="0.15748031496062992" header="0.31496062992125984" footer="0.31496062992125984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71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14528.114977000001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55.884812</v>
      </c>
      <c r="H23" s="120">
        <f>SUM(D23:G23)</f>
        <v>55.884812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1.07535</v>
      </c>
      <c r="F25" s="53">
        <v>6792.433</v>
      </c>
      <c r="G25" s="114">
        <f>2.288+7676.433815</f>
        <v>7678.721815</v>
      </c>
      <c r="H25" s="77">
        <f>SUM(D25:G25)</f>
        <v>14472.230165</v>
      </c>
      <c r="I25" s="92">
        <f>SUM(H15:H21)+H25</f>
        <v>14472.230165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8884.322</v>
      </c>
      <c r="E27" s="146"/>
      <c r="F27" s="146"/>
      <c r="G27" s="147"/>
      <c r="H27" s="36">
        <f>SUM(D27:G27)</f>
        <v>8884.322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23412.436977</v>
      </c>
    </row>
    <row r="31" ht="15">
      <c r="H31" s="122">
        <f>H29</f>
        <v>23412.436977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72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11186.42502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39.411141</v>
      </c>
      <c r="H23" s="120">
        <f>SUM(D23:G23)</f>
        <v>39.411141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-1.07535</v>
      </c>
      <c r="F25" s="53">
        <f>2049.388577+2160.849555</f>
        <v>4210.238132</v>
      </c>
      <c r="G25" s="114">
        <f>3386.312833+3545.818264+5.72</f>
        <v>6937.851097</v>
      </c>
      <c r="H25" s="77">
        <f>SUM(D25:G25)</f>
        <v>11147.013879</v>
      </c>
      <c r="I25" s="92">
        <f>SUM(H15:H21)+H25</f>
        <v>11147.013879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8270.604</v>
      </c>
      <c r="E27" s="146"/>
      <c r="F27" s="146"/>
      <c r="G27" s="147"/>
      <c r="H27" s="36">
        <f>SUM(D27:G27)</f>
        <v>8270.604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19457.02902</v>
      </c>
    </row>
    <row r="31" ht="15">
      <c r="H31" s="122">
        <f>H29</f>
        <v>19457.02902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-1.0269</v>
      </c>
      <c r="H21" s="125">
        <f t="shared" si="0"/>
        <v>-1.0269</v>
      </c>
      <c r="K21" s="124">
        <f>H21+H23+H25</f>
        <v>11360.617976999998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39.462614</v>
      </c>
      <c r="H23" s="120">
        <f>SUM(D23:G23)</f>
        <v>39.462614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4277.609964</v>
      </c>
      <c r="G25" s="114">
        <f>7040.147279-2.21198+6.637</f>
        <v>7044.5722989999995</v>
      </c>
      <c r="H25" s="77">
        <f>SUM(D25:G25)</f>
        <v>11322.182262999999</v>
      </c>
      <c r="I25" s="92">
        <f>SUM(H15:H21)+H25</f>
        <v>11321.155362999998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6810.208</v>
      </c>
      <c r="E27" s="146"/>
      <c r="F27" s="146"/>
      <c r="G27" s="147"/>
      <c r="H27" s="36">
        <f>SUM(D27:G27)</f>
        <v>6810.208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18170.825976999997</v>
      </c>
    </row>
    <row r="31" ht="15">
      <c r="H31" s="122">
        <f>H29</f>
        <v>18170.825976999997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1.508215</v>
      </c>
      <c r="H21" s="125">
        <f t="shared" si="0"/>
        <v>1.508215</v>
      </c>
      <c r="K21" s="124">
        <f>H21+H23+H25</f>
        <v>12531.854930000001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40.303733</v>
      </c>
      <c r="H23" s="120">
        <f>SUM(D23:G23)</f>
        <v>40.303733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5114.033277</v>
      </c>
      <c r="G25" s="114">
        <f>7298.160842+62.490552-0.584689+15.943</f>
        <v>7376.009705</v>
      </c>
      <c r="H25" s="77">
        <f>SUM(D25:G25)</f>
        <v>12490.042982</v>
      </c>
      <c r="I25" s="92">
        <f>SUM(H15:H21)+H25</f>
        <v>12491.551197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7976.791</v>
      </c>
      <c r="E27" s="146"/>
      <c r="F27" s="146"/>
      <c r="G27" s="147"/>
      <c r="H27" s="36">
        <f>SUM(D27:G27)</f>
        <v>7976.791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20508.645930000002</v>
      </c>
    </row>
    <row r="31" ht="15">
      <c r="H31" s="122">
        <f>H29</f>
        <v>20508.645930000002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0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1.508215</v>
      </c>
      <c r="H21" s="125">
        <f t="shared" si="0"/>
        <v>1.508215</v>
      </c>
      <c r="K21" s="124">
        <f>H21+H23+H25</f>
        <v>12531.854930000001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40.303733</v>
      </c>
      <c r="H23" s="120">
        <f>SUM(D23:G23)</f>
        <v>40.303733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5114.033277</v>
      </c>
      <c r="G25" s="114">
        <f>7298.160842+62.490552-0.584689+15.943</f>
        <v>7376.009705</v>
      </c>
      <c r="H25" s="77">
        <f>SUM(D25:G25)</f>
        <v>12490.042982</v>
      </c>
      <c r="I25" s="92">
        <f>SUM(H15:H21)+H25</f>
        <v>12491.551197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8891.108</v>
      </c>
      <c r="E27" s="146"/>
      <c r="F27" s="146"/>
      <c r="G27" s="147"/>
      <c r="H27" s="36">
        <f>SUM(D27:G27)</f>
        <v>8891.108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21422.96293</v>
      </c>
    </row>
    <row r="31" ht="15">
      <c r="H31" s="122">
        <f>H29</f>
        <v>21422.96293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75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16209.373123999998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37.763123</v>
      </c>
      <c r="H23" s="120">
        <f>SUM(D23:G23)</f>
        <v>37.763123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7784.531719</v>
      </c>
      <c r="G25" s="114">
        <f>8305.049914+0.351368+81.677</f>
        <v>8387.078281999999</v>
      </c>
      <c r="H25" s="77">
        <f>SUM(D25:G25)</f>
        <v>16171.610000999997</v>
      </c>
      <c r="I25" s="92">
        <f>SUM(H15:H21)+H25</f>
        <v>16171.610000999997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8676.269</v>
      </c>
      <c r="E27" s="146"/>
      <c r="F27" s="146"/>
      <c r="G27" s="147"/>
      <c r="H27" s="36">
        <f>SUM(D27:G27)</f>
        <v>8676.269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24885.642123999998</v>
      </c>
    </row>
    <row r="31" ht="15">
      <c r="H31" s="122">
        <f>H29</f>
        <v>24885.642123999998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20683.84994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68.610531</v>
      </c>
      <c r="H23" s="120">
        <f>SUM(D23:G23)</f>
        <v>68.610531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10238.178789</v>
      </c>
      <c r="G25" s="114">
        <v>10377.06062</v>
      </c>
      <c r="H25" s="77">
        <f>SUM(D25:G25)</f>
        <v>20615.239409</v>
      </c>
      <c r="I25" s="92">
        <f>SUM(H15:H21)+H25</f>
        <v>20615.239409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9254.074</v>
      </c>
      <c r="E27" s="146"/>
      <c r="F27" s="146"/>
      <c r="G27" s="147"/>
      <c r="H27" s="36">
        <f>SUM(D27:G27)</f>
        <v>9254.074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29937.92394</v>
      </c>
    </row>
    <row r="31" ht="15">
      <c r="H31" s="122">
        <f>H29</f>
        <v>29937.92394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77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29094.322048</v>
      </c>
    </row>
    <row r="22" spans="1:8" ht="17.25" customHeight="1">
      <c r="A22" s="56" t="s">
        <v>38</v>
      </c>
      <c r="B22" s="139" t="s">
        <v>53</v>
      </c>
      <c r="C22" s="139"/>
      <c r="D22" s="139"/>
      <c r="E22" s="139"/>
      <c r="F22" s="139"/>
      <c r="G22" s="139"/>
      <c r="H22" s="179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65.174792</v>
      </c>
      <c r="H23" s="120">
        <f>SUM(D23:G23)</f>
        <v>65.174792</v>
      </c>
    </row>
    <row r="24" spans="1:8" ht="17.25" customHeight="1">
      <c r="A24" s="91" t="s">
        <v>45</v>
      </c>
      <c r="B24" s="156" t="s">
        <v>47</v>
      </c>
      <c r="C24" s="157"/>
      <c r="D24" s="157"/>
      <c r="E24" s="157"/>
      <c r="F24" s="157"/>
      <c r="G24" s="157"/>
      <c r="H24" s="158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f>13747.904879-69.948102</f>
        <v>13677.956777</v>
      </c>
      <c r="G25" s="114">
        <f>15218.789149-8.97542-15.708528-4.203722+161.289</f>
        <v>15351.190479</v>
      </c>
      <c r="H25" s="77">
        <f>SUM(D25:G25)</f>
        <v>29029.147256</v>
      </c>
      <c r="I25" s="92">
        <f>SUM(H15:H21)+H25</f>
        <v>29029.147256</v>
      </c>
      <c r="J25" s="122"/>
      <c r="K25" s="122"/>
      <c r="N25" s="122"/>
    </row>
    <row r="26" spans="1:8" ht="15">
      <c r="A26" s="78" t="s">
        <v>54</v>
      </c>
      <c r="B26" s="159" t="s">
        <v>39</v>
      </c>
      <c r="C26" s="160"/>
      <c r="D26" s="160"/>
      <c r="E26" s="160"/>
      <c r="F26" s="160"/>
      <c r="G26" s="160"/>
      <c r="H26" s="161"/>
    </row>
    <row r="27" spans="1:8" ht="30">
      <c r="A27" s="33" t="s">
        <v>55</v>
      </c>
      <c r="B27" s="34" t="s">
        <v>40</v>
      </c>
      <c r="C27" s="35" t="s">
        <v>2</v>
      </c>
      <c r="D27" s="145">
        <v>12145.306</v>
      </c>
      <c r="E27" s="146"/>
      <c r="F27" s="146"/>
      <c r="G27" s="147"/>
      <c r="H27" s="36">
        <f>SUM(D27:G27)</f>
        <v>12145.306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6">
        <f>SUM(H13:H27)</f>
        <v>41239.628048</v>
      </c>
    </row>
    <row r="31" ht="15">
      <c r="H31" s="122">
        <f>H29</f>
        <v>41239.628048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78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f>16.180645</f>
        <v>16.180645</v>
      </c>
      <c r="F14" s="53">
        <f>7054.170921+1818.02027-3.69255</f>
        <v>8868.498641</v>
      </c>
      <c r="G14" s="114">
        <f>4534.405946+1433.89239+21.91+5.095</f>
        <v>5995.303336</v>
      </c>
      <c r="H14" s="77">
        <f>SUM(D14:G14)</f>
        <v>14879.982622</v>
      </c>
      <c r="K14" s="124">
        <f>H14+H16</f>
        <v>14947.063795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67.081173</v>
      </c>
      <c r="E16" s="181"/>
      <c r="F16" s="181"/>
      <c r="G16" s="182"/>
      <c r="H16" s="120">
        <f>SUM(D16:G16)</f>
        <v>67.081173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8509.98889</v>
      </c>
      <c r="E18" s="181"/>
      <c r="F18" s="181"/>
      <c r="G18" s="182"/>
      <c r="H18" s="36">
        <f>SUM(D18:G18)</f>
        <v>8509.98889</v>
      </c>
      <c r="I18" s="92">
        <f>SUM(H14:H14)+H18</f>
        <v>23389.971512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23457.052685000002</v>
      </c>
    </row>
    <row r="22" ht="15">
      <c r="H22" s="122">
        <f>H20</f>
        <v>23457.052685000002</v>
      </c>
    </row>
  </sheetData>
  <sheetProtection/>
  <mergeCells count="12">
    <mergeCell ref="B13:H13"/>
    <mergeCell ref="B15:H15"/>
    <mergeCell ref="B17:H17"/>
    <mergeCell ref="D18:G18"/>
    <mergeCell ref="D16:G1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80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13884.385024</f>
        <v>13884.385024</v>
      </c>
      <c r="G14" s="114">
        <v>10167.133331</v>
      </c>
      <c r="H14" s="77">
        <f>SUM(D14:G14)</f>
        <v>24051.518355</v>
      </c>
      <c r="K14" s="124">
        <f>H14+H16</f>
        <v>24118.074961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66.556606</v>
      </c>
      <c r="E16" s="181"/>
      <c r="F16" s="181"/>
      <c r="G16" s="182"/>
      <c r="H16" s="120">
        <f>SUM(D16:G16)</f>
        <v>66.556606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11171.489039</v>
      </c>
      <c r="E18" s="181"/>
      <c r="F18" s="181"/>
      <c r="G18" s="182"/>
      <c r="H18" s="36">
        <f>SUM(D18:G18)</f>
        <v>11171.489039</v>
      </c>
      <c r="I18" s="92">
        <f>SUM(H14:H14)+H18</f>
        <v>35223.007394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35289.564</v>
      </c>
    </row>
    <row r="22" ht="15">
      <c r="H22" s="122">
        <f>H20</f>
        <v>35289.564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3" customWidth="1"/>
    <col min="2" max="2" width="42.00390625" style="4" customWidth="1"/>
    <col min="3" max="3" width="9.28125" style="4" customWidth="1"/>
    <col min="4" max="7" width="9.00390625" style="4" customWidth="1"/>
    <col min="8" max="8" width="10.7109375" style="4" customWidth="1"/>
    <col min="9" max="9" width="9.421875" style="4" bestFit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5.75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43</v>
      </c>
      <c r="B7" s="162"/>
      <c r="C7" s="162"/>
      <c r="D7" s="162"/>
      <c r="E7" s="162"/>
      <c r="F7" s="162"/>
      <c r="G7" s="162"/>
      <c r="H7" s="162"/>
    </row>
    <row r="8" spans="2:8" ht="22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1009.194</v>
      </c>
      <c r="G15" s="7">
        <v>401.621</v>
      </c>
      <c r="H15" s="21">
        <f aca="true" t="shared" si="0" ref="H15:H20">SUM(D15:G15)</f>
        <v>1410.815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125.086</v>
      </c>
      <c r="H16" s="21">
        <f t="shared" si="0"/>
        <v>125.086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18.82</v>
      </c>
      <c r="G17" s="7">
        <v>244.451</v>
      </c>
      <c r="H17" s="21">
        <f t="shared" si="0"/>
        <v>263.271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7">
        <v>146.844</v>
      </c>
      <c r="H18" s="21">
        <f t="shared" si="0"/>
        <v>146.844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7">
        <v>0</v>
      </c>
      <c r="H19" s="21">
        <f t="shared" si="0"/>
        <v>0</v>
      </c>
    </row>
    <row r="20" spans="1:9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7848.95</v>
      </c>
      <c r="G20" s="7">
        <v>13848.917</v>
      </c>
      <c r="H20" s="21">
        <f t="shared" si="0"/>
        <v>21697.867</v>
      </c>
      <c r="I20" s="38">
        <f>SUM(H15:H20)</f>
        <v>23643.882999999998</v>
      </c>
    </row>
    <row r="21" spans="1:9" s="45" customFormat="1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  <c r="I21" s="81"/>
    </row>
    <row r="22" spans="1:9" s="45" customFormat="1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26.183</v>
      </c>
      <c r="H22" s="54">
        <f>SUM(D22:G22)</f>
        <v>26.183</v>
      </c>
      <c r="I22" s="81"/>
    </row>
    <row r="23" spans="1:8" ht="15">
      <c r="A23" s="31" t="s">
        <v>45</v>
      </c>
      <c r="B23" s="163" t="s">
        <v>39</v>
      </c>
      <c r="C23" s="164"/>
      <c r="D23" s="164"/>
      <c r="E23" s="164"/>
      <c r="F23" s="164"/>
      <c r="G23" s="164"/>
      <c r="H23" s="165"/>
    </row>
    <row r="24" spans="1:8" ht="30">
      <c r="A24" s="33" t="s">
        <v>52</v>
      </c>
      <c r="B24" s="34" t="s">
        <v>40</v>
      </c>
      <c r="C24" s="35" t="s">
        <v>2</v>
      </c>
      <c r="D24" s="145">
        <v>10601.716</v>
      </c>
      <c r="E24" s="146"/>
      <c r="F24" s="146"/>
      <c r="G24" s="147"/>
      <c r="H24" s="36">
        <f>SUM(D24:G24)</f>
        <v>10601.716</v>
      </c>
    </row>
    <row r="25" spans="1:8" ht="15">
      <c r="A25" s="28"/>
      <c r="B25" s="14"/>
      <c r="C25" s="12"/>
      <c r="D25" s="14"/>
      <c r="E25" s="12"/>
      <c r="F25" s="14"/>
      <c r="G25" s="12"/>
      <c r="H25" s="23"/>
    </row>
    <row r="26" spans="1:8" s="5" customFormat="1" ht="15.75" thickBot="1">
      <c r="A26" s="29"/>
      <c r="B26" s="24" t="s">
        <v>3</v>
      </c>
      <c r="C26" s="25" t="s">
        <v>2</v>
      </c>
      <c r="D26" s="26"/>
      <c r="E26" s="26"/>
      <c r="F26" s="26"/>
      <c r="G26" s="26"/>
      <c r="H26" s="32">
        <f>SUM(H13:H24)</f>
        <v>34271.782</v>
      </c>
    </row>
    <row r="28" spans="2:8" ht="15.75">
      <c r="B28" s="1"/>
      <c r="C28" s="1"/>
      <c r="D28" s="1"/>
      <c r="E28" s="1"/>
      <c r="F28" s="1"/>
      <c r="G28" s="1"/>
      <c r="H28" s="1"/>
    </row>
  </sheetData>
  <sheetProtection/>
  <mergeCells count="12">
    <mergeCell ref="B14:H14"/>
    <mergeCell ref="B21:H21"/>
    <mergeCell ref="A2:H2"/>
    <mergeCell ref="A4:H4"/>
    <mergeCell ref="A5:H5"/>
    <mergeCell ref="A6:H6"/>
    <mergeCell ref="B23:H23"/>
    <mergeCell ref="D24:G24"/>
    <mergeCell ref="A7:H7"/>
    <mergeCell ref="B9:B11"/>
    <mergeCell ref="D9:G10"/>
    <mergeCell ref="B13:H13"/>
  </mergeCells>
  <printOptions/>
  <pageMargins left="0.1968503937007874" right="0" top="0.15748031496062992" bottom="0.15748031496062992" header="0.31496062992125984" footer="0.31496062992125984"/>
  <pageSetup fitToHeight="1" fitToWidth="1" horizontalDpi="600" verticalDpi="6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81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12272.437182+5.890935+68.398</f>
        <v>12346.726116999998</v>
      </c>
      <c r="G14" s="114">
        <f>8402.681354+4.329855-1.482728</f>
        <v>8405.528481</v>
      </c>
      <c r="H14" s="77">
        <f>SUM(D14:G14)</f>
        <v>20752.254598</v>
      </c>
      <c r="K14" s="124">
        <f>H14+H16</f>
        <v>20809.883998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57.6294</v>
      </c>
      <c r="E16" s="181"/>
      <c r="F16" s="181"/>
      <c r="G16" s="182"/>
      <c r="H16" s="120">
        <f>SUM(D16:G16)</f>
        <v>57.6294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10574.396038</v>
      </c>
      <c r="E18" s="181"/>
      <c r="F18" s="181"/>
      <c r="G18" s="182"/>
      <c r="H18" s="36">
        <f>SUM(D18:G18)</f>
        <v>10574.396038</v>
      </c>
      <c r="I18" s="92">
        <f>SUM(H14:H14)+H18</f>
        <v>31326.650636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31384.280036000004</v>
      </c>
    </row>
    <row r="22" ht="15">
      <c r="H22" s="122">
        <f>H20</f>
        <v>31384.280036000004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82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12385.541924+0.548494</f>
        <v>12386.090418</v>
      </c>
      <c r="G14" s="114">
        <f>7893.658104+3.476261+1.874513+22.879</f>
        <v>7921.887878</v>
      </c>
      <c r="H14" s="77">
        <f>SUM(D14:G14)</f>
        <v>20307.978296</v>
      </c>
      <c r="K14" s="124">
        <f>H14+H16</f>
        <v>20372.445162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64.466866</v>
      </c>
      <c r="E16" s="181"/>
      <c r="F16" s="181"/>
      <c r="G16" s="182"/>
      <c r="H16" s="120">
        <f>SUM(D16:G16)</f>
        <v>64.466866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9742.812097</v>
      </c>
      <c r="E18" s="181"/>
      <c r="F18" s="181"/>
      <c r="G18" s="182"/>
      <c r="H18" s="36">
        <f>SUM(D18:G18)</f>
        <v>9742.812097</v>
      </c>
      <c r="I18" s="92">
        <f>SUM(H14:H14)+H18</f>
        <v>30050.790393000003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30115.257258999998</v>
      </c>
    </row>
    <row r="22" ht="15">
      <c r="H22" s="122">
        <f>H20</f>
        <v>30115.257258999998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10197.401966+0.381391</f>
        <v>10197.783357</v>
      </c>
      <c r="G14" s="114">
        <f>6714.865137+3.707+5.317+(-16.050468)+(-9.9727)+17.399</f>
        <v>6715.264969</v>
      </c>
      <c r="H14" s="77">
        <f>SUM(D14:G14)</f>
        <v>16913.048326</v>
      </c>
      <c r="K14" s="124">
        <f>H14+H16</f>
        <v>16963.171317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50.122991</v>
      </c>
      <c r="E16" s="181"/>
      <c r="F16" s="181"/>
      <c r="G16" s="182"/>
      <c r="H16" s="120">
        <f>SUM(D16:G16)</f>
        <v>50.122991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8660.731466</v>
      </c>
      <c r="E18" s="181"/>
      <c r="F18" s="181"/>
      <c r="G18" s="182"/>
      <c r="H18" s="36">
        <f>SUM(D18:G18)</f>
        <v>8660.731466</v>
      </c>
      <c r="I18" s="92">
        <f>SUM(H14:H14)+H18</f>
        <v>25573.779792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25623.902782999998</v>
      </c>
    </row>
    <row r="22" ht="15">
      <c r="H22" s="122">
        <f>H20</f>
        <v>25623.902782999998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8485.961+0.110377</f>
        <v>8486.071377</v>
      </c>
      <c r="G14" s="114">
        <f>6309.948934+6.866+7.097921+1.132</f>
        <v>6325.044854999999</v>
      </c>
      <c r="H14" s="77">
        <f>SUM(D14:G14)</f>
        <v>14811.116232</v>
      </c>
      <c r="K14" s="124">
        <f>H14+H16</f>
        <v>14857.097654000001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45.981422</v>
      </c>
      <c r="E16" s="181"/>
      <c r="F16" s="181"/>
      <c r="G16" s="182"/>
      <c r="H16" s="120">
        <f>SUM(D16:G16)</f>
        <v>45.981422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8175.246</v>
      </c>
      <c r="E18" s="181"/>
      <c r="F18" s="181"/>
      <c r="G18" s="182"/>
      <c r="H18" s="36">
        <f>SUM(D18:G18)</f>
        <v>8175.246</v>
      </c>
      <c r="I18" s="92">
        <f>SUM(H14:H14)+H18</f>
        <v>22986.362232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23032.343654</v>
      </c>
    </row>
    <row r="22" ht="15">
      <c r="H22" s="122">
        <f>H20</f>
        <v>23032.343654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85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2745.118544+3310.520689+0.438703+30.875</f>
        <v>6086.952936</v>
      </c>
      <c r="G14" s="114">
        <f>3101.037939+2818.305304</f>
        <v>5919.343242999999</v>
      </c>
      <c r="H14" s="77">
        <f>SUM(D14:G14)</f>
        <v>12006.296178999999</v>
      </c>
      <c r="K14" s="124">
        <f>H14+H16</f>
        <v>12051.188352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44.892173</v>
      </c>
      <c r="E16" s="181"/>
      <c r="F16" s="181"/>
      <c r="G16" s="182"/>
      <c r="H16" s="120">
        <f>SUM(D16:G16)</f>
        <v>44.892173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8415.407181</v>
      </c>
      <c r="E18" s="181"/>
      <c r="F18" s="181"/>
      <c r="G18" s="182"/>
      <c r="H18" s="36">
        <f>SUM(D18:G18)</f>
        <v>8415.407181</v>
      </c>
      <c r="I18" s="92">
        <f>SUM(H14:H14)+H18</f>
        <v>20421.70336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20466.595533</v>
      </c>
    </row>
    <row r="22" ht="15">
      <c r="H22" s="122">
        <f>H20</f>
        <v>20466.595533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6381.777264</v>
      </c>
      <c r="G14" s="114">
        <f>16.245297+6072.74815+18.805</f>
        <v>6107.798447000001</v>
      </c>
      <c r="H14" s="77">
        <f>SUM(D14:G14)</f>
        <v>12489.575711000001</v>
      </c>
      <c r="K14" s="124">
        <f>H14+H16</f>
        <v>12534.211505000001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44.635794</v>
      </c>
      <c r="E16" s="181"/>
      <c r="F16" s="181"/>
      <c r="G16" s="182"/>
      <c r="H16" s="120">
        <f>SUM(D16:G16)</f>
        <v>44.635794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7600.390412</v>
      </c>
      <c r="E18" s="181"/>
      <c r="F18" s="181"/>
      <c r="G18" s="182"/>
      <c r="H18" s="127">
        <f>SUM(D18:G18)</f>
        <v>7600.390412</v>
      </c>
      <c r="I18" s="92">
        <f>SUM(H14:H14)+H18</f>
        <v>20089.966123000002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20134.601917</v>
      </c>
    </row>
    <row r="22" ht="15">
      <c r="H22" s="122">
        <f>H20</f>
        <v>20134.601917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6405.467246</v>
      </c>
      <c r="G14" s="114">
        <f>5967.188691+33.58152-3.6584-0.016016</f>
        <v>5997.095795</v>
      </c>
      <c r="H14" s="77">
        <f>SUM(D14:G14)</f>
        <v>12402.563041000001</v>
      </c>
      <c r="K14" s="124">
        <f>H14+H16</f>
        <v>12443.349471000001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40.78643</v>
      </c>
      <c r="E16" s="181"/>
      <c r="F16" s="181"/>
      <c r="G16" s="182"/>
      <c r="H16" s="120">
        <f>SUM(D16:G16)</f>
        <v>40.78643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8648.01127</v>
      </c>
      <c r="E18" s="181"/>
      <c r="F18" s="181"/>
      <c r="G18" s="182"/>
      <c r="H18" s="127">
        <f>SUM(D18:G18)</f>
        <v>8648.01127</v>
      </c>
      <c r="I18" s="92">
        <f>SUM(H14:H14)+H18</f>
        <v>21050.574311000004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21091.360741000004</v>
      </c>
    </row>
    <row r="22" ht="15">
      <c r="H22" s="122">
        <f>H20</f>
        <v>21091.360741000004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87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9592.23539</v>
      </c>
      <c r="G14" s="114">
        <v>6467.556374</v>
      </c>
      <c r="H14" s="77">
        <f>SUM(D14:G14)</f>
        <v>16059.791764</v>
      </c>
      <c r="K14" s="124">
        <f>H14+H16</f>
        <v>16109.343961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49.552197</v>
      </c>
      <c r="E16" s="181"/>
      <c r="F16" s="181"/>
      <c r="G16" s="182"/>
      <c r="H16" s="120">
        <f>SUM(D16:G16)</f>
        <v>49.552197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9063.630239</v>
      </c>
      <c r="E18" s="181"/>
      <c r="F18" s="181"/>
      <c r="G18" s="182"/>
      <c r="H18" s="127">
        <f>SUM(D18:G18)</f>
        <v>9063.630239</v>
      </c>
      <c r="I18" s="92">
        <f>SUM(H14:H14)+H18</f>
        <v>25123.422003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25172.9742</v>
      </c>
    </row>
    <row r="22" ht="15">
      <c r="H22" s="122">
        <f>H20</f>
        <v>25172.9742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89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12071.627923</v>
      </c>
      <c r="G14" s="114">
        <v>7703.099318</v>
      </c>
      <c r="H14" s="77">
        <f>SUM(D14:G14)</f>
        <v>19774.727241</v>
      </c>
      <c r="K14" s="124">
        <f>H14+H16</f>
        <v>19833.455459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58.728218</v>
      </c>
      <c r="E16" s="181"/>
      <c r="F16" s="181"/>
      <c r="G16" s="182"/>
      <c r="H16" s="120">
        <f>SUM(D16:G16)</f>
        <v>58.728218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9116.076964</v>
      </c>
      <c r="E18" s="181"/>
      <c r="F18" s="181"/>
      <c r="G18" s="182"/>
      <c r="H18" s="127">
        <f>SUM(D18:G18)</f>
        <v>9116.076964</v>
      </c>
      <c r="I18" s="92">
        <f>SUM(H14:H14)+H18</f>
        <v>28890.804205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28949.532423</v>
      </c>
    </row>
    <row r="22" ht="15">
      <c r="H22" s="122">
        <f>H20</f>
        <v>28949.532423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90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17718.854269</v>
      </c>
      <c r="G14" s="114">
        <v>12235.566255</v>
      </c>
      <c r="H14" s="77">
        <f>SUM(D14:G14)</f>
        <v>29954.420524</v>
      </c>
      <c r="K14" s="124">
        <f>H14+H16</f>
        <v>30015.517885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61.097361</v>
      </c>
      <c r="E16" s="181"/>
      <c r="F16" s="181"/>
      <c r="G16" s="182"/>
      <c r="H16" s="120">
        <f>SUM(D16:G16)</f>
        <v>61.097361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12010.759053</v>
      </c>
      <c r="E18" s="181"/>
      <c r="F18" s="181"/>
      <c r="G18" s="182"/>
      <c r="H18" s="127">
        <f>SUM(D18:G18)</f>
        <v>12010.759053</v>
      </c>
      <c r="I18" s="92">
        <f>SUM(H14:H14)+H18</f>
        <v>41965.179577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42026.276938</v>
      </c>
    </row>
    <row r="22" ht="15">
      <c r="H22" s="122">
        <f>H20</f>
        <v>42026.276938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6.8515625" style="93" customWidth="1"/>
    <col min="2" max="2" width="44.421875" style="95" customWidth="1"/>
    <col min="3" max="3" width="9.28125" style="95" customWidth="1"/>
    <col min="4" max="5" width="7.8515625" style="95" customWidth="1"/>
    <col min="6" max="6" width="9.28125" style="95" customWidth="1"/>
    <col min="7" max="7" width="9.00390625" style="95" customWidth="1"/>
    <col min="8" max="8" width="10.140625" style="95" customWidth="1"/>
    <col min="9" max="9" width="9.140625" style="95" hidden="1" customWidth="1"/>
    <col min="10" max="16384" width="9.140625" style="95" customWidth="1"/>
  </cols>
  <sheetData>
    <row r="1" spans="2:8" ht="15.75">
      <c r="B1" s="94"/>
      <c r="C1" s="94"/>
      <c r="D1" s="94"/>
      <c r="E1" s="94"/>
      <c r="F1" s="94"/>
      <c r="G1" s="94"/>
      <c r="H1" s="94"/>
    </row>
    <row r="2" spans="1:8" ht="15.75">
      <c r="A2" s="178" t="s">
        <v>0</v>
      </c>
      <c r="B2" s="178"/>
      <c r="C2" s="178"/>
      <c r="D2" s="178"/>
      <c r="E2" s="178"/>
      <c r="F2" s="178"/>
      <c r="G2" s="178"/>
      <c r="H2" s="178"/>
    </row>
    <row r="3" spans="2:8" ht="10.5" customHeight="1">
      <c r="B3" s="96"/>
      <c r="C3" s="96"/>
      <c r="D3" s="96"/>
      <c r="E3" s="96"/>
      <c r="F3" s="96"/>
      <c r="G3" s="96"/>
      <c r="H3" s="96"/>
    </row>
    <row r="4" spans="1:8" ht="15.75">
      <c r="A4" s="178" t="s">
        <v>22</v>
      </c>
      <c r="B4" s="178"/>
      <c r="C4" s="178"/>
      <c r="D4" s="178"/>
      <c r="E4" s="178"/>
      <c r="F4" s="178"/>
      <c r="G4" s="178"/>
      <c r="H4" s="178"/>
    </row>
    <row r="5" spans="1:8" ht="15.75">
      <c r="A5" s="178" t="s">
        <v>23</v>
      </c>
      <c r="B5" s="178"/>
      <c r="C5" s="178"/>
      <c r="D5" s="178"/>
      <c r="E5" s="178"/>
      <c r="F5" s="178"/>
      <c r="G5" s="178"/>
      <c r="H5" s="178"/>
    </row>
    <row r="6" spans="1:8" ht="15.75">
      <c r="A6" s="178" t="s">
        <v>21</v>
      </c>
      <c r="B6" s="178"/>
      <c r="C6" s="178"/>
      <c r="D6" s="178"/>
      <c r="E6" s="178"/>
      <c r="F6" s="178"/>
      <c r="G6" s="178"/>
      <c r="H6" s="178"/>
    </row>
    <row r="7" spans="1:8" ht="15.75">
      <c r="A7" s="178" t="s">
        <v>57</v>
      </c>
      <c r="B7" s="178"/>
      <c r="C7" s="178"/>
      <c r="D7" s="178"/>
      <c r="E7" s="178"/>
      <c r="F7" s="178"/>
      <c r="G7" s="178"/>
      <c r="H7" s="178"/>
    </row>
    <row r="8" spans="2:8" ht="13.5" customHeight="1" thickBot="1">
      <c r="B8" s="94"/>
      <c r="C8" s="94"/>
      <c r="D8" s="94"/>
      <c r="E8" s="94"/>
      <c r="F8" s="94"/>
      <c r="G8" s="94"/>
      <c r="H8" s="9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97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98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99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100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f>январь2012!D15+февраль2012!D15+март2012!D15</f>
        <v>0</v>
      </c>
      <c r="E15" s="51">
        <f>январь2012!E15+февраль2012!E15+март2012!E15</f>
        <v>0</v>
      </c>
      <c r="F15" s="51">
        <f>январь2012!F15+февраль2012!F15+март2012!F15</f>
        <v>3176.241</v>
      </c>
      <c r="G15" s="51">
        <f>январь2012!G15+февраль2012!G15+март2012!G15</f>
        <v>1229.8870000000002</v>
      </c>
      <c r="H15" s="99">
        <f aca="true" t="shared" si="0" ref="H15:H20">SUM(D15:G15)</f>
        <v>4406.128000000001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f>январь2012!D16+февраль2012!D16+март2012!D16</f>
        <v>0</v>
      </c>
      <c r="E16" s="51">
        <f>январь2012!E16+февраль2012!E16+март2012!E16</f>
        <v>0</v>
      </c>
      <c r="F16" s="51">
        <f>январь2012!F16+февраль2012!F16+март2012!F16</f>
        <v>0</v>
      </c>
      <c r="G16" s="51">
        <f>январь2012!G16+февраль2012!G16+март2012!G16</f>
        <v>308.757</v>
      </c>
      <c r="H16" s="99">
        <f t="shared" si="0"/>
        <v>308.757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f>январь2012!D17+февраль2012!D17+март2012!D17</f>
        <v>0</v>
      </c>
      <c r="E17" s="51">
        <f>январь2012!E17+февраль2012!E17+март2012!E17</f>
        <v>0</v>
      </c>
      <c r="F17" s="51">
        <f>январь2012!F17+февраль2012!F17+март2012!F17</f>
        <v>45.592</v>
      </c>
      <c r="G17" s="51">
        <f>январь2012!G17+февраль2012!G17+март2012!G17</f>
        <v>606.456</v>
      </c>
      <c r="H17" s="99">
        <f t="shared" si="0"/>
        <v>652.048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f>январь2012!D18+февраль2012!D18+март2012!D18</f>
        <v>0</v>
      </c>
      <c r="E18" s="51">
        <f>январь2012!E18+февраль2012!E18+март2012!E18</f>
        <v>0</v>
      </c>
      <c r="F18" s="51">
        <f>январь2012!F18+февраль2012!F18+март2012!F18</f>
        <v>0</v>
      </c>
      <c r="G18" s="51">
        <f>январь2012!G18+февраль2012!G18+март2012!G18</f>
        <v>205.23</v>
      </c>
      <c r="H18" s="99">
        <f t="shared" si="0"/>
        <v>205.23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f>январь2012!D19+февраль2012!D19+март2012!D19</f>
        <v>0</v>
      </c>
      <c r="E19" s="51">
        <f>январь2012!E19+февраль2012!E19+март2012!E19</f>
        <v>0</v>
      </c>
      <c r="F19" s="51">
        <f>январь2012!F19+февраль2012!F19+март2012!F19</f>
        <v>0</v>
      </c>
      <c r="G19" s="51">
        <f>январь2012!G19+февраль2012!G19+март2012!G19</f>
        <v>0</v>
      </c>
      <c r="H19" s="99">
        <f t="shared" si="0"/>
        <v>0</v>
      </c>
    </row>
    <row r="20" spans="1:8" ht="17.25" customHeight="1">
      <c r="A20" s="79" t="s">
        <v>36</v>
      </c>
      <c r="B20" s="80" t="s">
        <v>37</v>
      </c>
      <c r="C20" s="35" t="s">
        <v>2</v>
      </c>
      <c r="D20" s="51">
        <f>январь2012!D20+февраль2012!D20+март2012!D20</f>
        <v>0</v>
      </c>
      <c r="E20" s="51">
        <f>январь2012!E20+февраль2012!E20+март2012!E20</f>
        <v>0</v>
      </c>
      <c r="F20" s="51">
        <f>январь2012!F20+февраль2012!F20+март2012!F20</f>
        <v>21370.574</v>
      </c>
      <c r="G20" s="51">
        <f>январь2012!G20+февраль2012!G20+март2012!G20</f>
        <v>36567.951</v>
      </c>
      <c r="H20" s="99">
        <f t="shared" si="0"/>
        <v>57938.525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1">
        <f>январь2012!D22+февраль2012!D22+март2012!D22</f>
        <v>0</v>
      </c>
      <c r="E22" s="51">
        <f>январь2012!E22+февраль2012!E22+март2012!E22</f>
        <v>0</v>
      </c>
      <c r="F22" s="51">
        <f>январь2012!F22+февраль2012!F22+март2012!F22</f>
        <v>0</v>
      </c>
      <c r="G22" s="51">
        <f>январь2012!G22+февраль2012!G22+март2012!G22</f>
        <v>68.036</v>
      </c>
      <c r="H22" s="99">
        <f>SUM(D22:G22)</f>
        <v>68.036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0</v>
      </c>
      <c r="G24" s="53">
        <v>0</v>
      </c>
      <c r="H24" s="105">
        <f>SUM(D24:G24)</f>
        <v>0</v>
      </c>
      <c r="I24" s="101">
        <f>SUM(H15:H20)+H24</f>
        <v>63510.688</v>
      </c>
    </row>
    <row r="25" spans="1:8" ht="15">
      <c r="A25" s="78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f>январь2012!D24+февраль2012!D24+март2012!D24</f>
        <v>29744.862999999998</v>
      </c>
      <c r="E26" s="146"/>
      <c r="F26" s="146"/>
      <c r="G26" s="147"/>
      <c r="H26" s="99">
        <f>SUM(D26:G26)</f>
        <v>29744.862999999998</v>
      </c>
    </row>
    <row r="27" spans="1:8" ht="15">
      <c r="A27" s="102"/>
      <c r="B27" s="106"/>
      <c r="C27" s="107"/>
      <c r="D27" s="106"/>
      <c r="E27" s="107"/>
      <c r="F27" s="106"/>
      <c r="G27" s="107"/>
      <c r="H27" s="108"/>
    </row>
    <row r="28" spans="1:8" s="104" customFormat="1" ht="15.75" thickBot="1">
      <c r="A28" s="103"/>
      <c r="B28" s="109" t="s">
        <v>3</v>
      </c>
      <c r="C28" s="110" t="s">
        <v>2</v>
      </c>
      <c r="D28" s="111"/>
      <c r="E28" s="111"/>
      <c r="F28" s="111"/>
      <c r="G28" s="111"/>
      <c r="H28" s="112">
        <f>SUM(H13:H26)</f>
        <v>93323.587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90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17718.854269</v>
      </c>
      <c r="G14" s="114">
        <v>12235.566255</v>
      </c>
      <c r="H14" s="77">
        <f>SUM(D14:G14)</f>
        <v>29954.420524</v>
      </c>
      <c r="K14" s="124">
        <f>H14+H16</f>
        <v>30015.517885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61.097361</v>
      </c>
      <c r="E16" s="181"/>
      <c r="F16" s="181"/>
      <c r="G16" s="182"/>
      <c r="H16" s="120">
        <f>SUM(D16:G16)</f>
        <v>61.097361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12010.759053</v>
      </c>
      <c r="E18" s="181"/>
      <c r="F18" s="181"/>
      <c r="G18" s="182"/>
      <c r="H18" s="127">
        <f>SUM(D18:G18)</f>
        <v>12010.759053</v>
      </c>
      <c r="I18" s="92">
        <f>SUM(H14:H14)+H18</f>
        <v>41965.179577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42026.276938</v>
      </c>
    </row>
    <row r="22" ht="15">
      <c r="H22" s="122">
        <f>H20</f>
        <v>42026.276938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H22" sqref="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91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2668.294105+7694.557513</f>
        <v>10362.851618</v>
      </c>
      <c r="G14" s="114">
        <f>1227.31096+3783.535876+5.587164</f>
        <v>5016.433999999999</v>
      </c>
      <c r="H14" s="77">
        <f>SUM(D14:G14)</f>
        <v>15379.285618</v>
      </c>
      <c r="K14" s="124">
        <f>H14+H16</f>
        <v>15436.552031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57.266413</v>
      </c>
      <c r="E16" s="181"/>
      <c r="F16" s="181"/>
      <c r="G16" s="182"/>
      <c r="H16" s="120">
        <f>SUM(D16:G16)</f>
        <v>57.266413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8059.942406</v>
      </c>
      <c r="E18" s="181"/>
      <c r="F18" s="181"/>
      <c r="G18" s="182"/>
      <c r="H18" s="127">
        <f>SUM(D18:G18)</f>
        <v>8059.942406</v>
      </c>
      <c r="I18" s="92">
        <f>SUM(H14:H14)+H18</f>
        <v>23439.228024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23496.494437</v>
      </c>
    </row>
    <row r="22" ht="15">
      <c r="H22" s="122">
        <f>H20</f>
        <v>23496.494437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H20" sqref="H2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92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14181.387845-17.498+7.775</f>
        <v>14171.664845</v>
      </c>
      <c r="G14" s="114">
        <f>9097.027867-5.325+9.183055</f>
        <v>9100.885922</v>
      </c>
      <c r="H14" s="77">
        <f>SUM(D14:G14)</f>
        <v>23272.550767</v>
      </c>
      <c r="K14" s="124">
        <f>H14+H16</f>
        <v>23340.719357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68.16859</v>
      </c>
      <c r="E16" s="181"/>
      <c r="F16" s="181"/>
      <c r="G16" s="182"/>
      <c r="H16" s="120">
        <f>SUM(D16:G16)</f>
        <v>68.16859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10963.833271</v>
      </c>
      <c r="E18" s="181"/>
      <c r="F18" s="181"/>
      <c r="G18" s="182"/>
      <c r="H18" s="127">
        <f>SUM(D18:G18)</f>
        <v>10963.833271</v>
      </c>
      <c r="I18" s="92">
        <f>SUM(H14:H14)+H18</f>
        <v>34236.384038000004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34304.552628000005</v>
      </c>
    </row>
    <row r="22" ht="15">
      <c r="H22" s="122">
        <f>H20</f>
        <v>34304.552628000005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12270.765268+150.135</f>
        <v>12420.900268</v>
      </c>
      <c r="G14" s="114">
        <f>7892.103468+6.604165+0.0641</f>
        <v>7898.771733</v>
      </c>
      <c r="H14" s="77">
        <f>SUM(D14:G14)</f>
        <v>20319.672001</v>
      </c>
      <c r="K14" s="124">
        <f>H14+H16</f>
        <v>20383.054203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63.382202</v>
      </c>
      <c r="E16" s="181"/>
      <c r="F16" s="181"/>
      <c r="G16" s="182"/>
      <c r="H16" s="120">
        <f>SUM(D16:G16)</f>
        <v>63.382202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10103.713024</v>
      </c>
      <c r="E18" s="181"/>
      <c r="F18" s="181"/>
      <c r="G18" s="182"/>
      <c r="H18" s="127">
        <f>SUM(D18:G18)</f>
        <v>10103.713024</v>
      </c>
      <c r="I18" s="92">
        <f>SUM(H14:H14)+H18</f>
        <v>30423.385025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30486.767227</v>
      </c>
    </row>
    <row r="22" ht="15">
      <c r="H22" s="122">
        <f>H20</f>
        <v>30486.767227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132.334+12965.113523+2.988213</f>
        <v>13100.435736000001</v>
      </c>
      <c r="G14" s="114">
        <f>1.311+1.626+0.967+0.08536+7576.126689+0.54538+7.235134</f>
        <v>7587.896562999998</v>
      </c>
      <c r="H14" s="77">
        <f>SUM(D14:G14)</f>
        <v>20688.332299</v>
      </c>
      <c r="K14" s="124">
        <f>H14+H16</f>
        <v>20749.887102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61.554803</v>
      </c>
      <c r="E16" s="181"/>
      <c r="F16" s="181"/>
      <c r="G16" s="182"/>
      <c r="H16" s="120">
        <f>SUM(D16:G16)</f>
        <v>61.554803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9976.222015</v>
      </c>
      <c r="E18" s="181"/>
      <c r="F18" s="181"/>
      <c r="G18" s="182"/>
      <c r="H18" s="127">
        <f>SUM(D18:G18)</f>
        <v>9976.222015</v>
      </c>
      <c r="I18" s="92">
        <f>SUM(H14:H14)+H18</f>
        <v>30664.554314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30726.109117</v>
      </c>
    </row>
    <row r="22" ht="15">
      <c r="H22" s="122">
        <f>H20</f>
        <v>30726.109117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G14" sqref="G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95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10808.938295</f>
        <v>10808.938295</v>
      </c>
      <c r="G14" s="114">
        <f>6501.249139-0.4144+0.266435+1.053081+20.103177+3.124861+0.63371+13.358921</f>
        <v>6539.374924</v>
      </c>
      <c r="H14" s="77">
        <f>SUM(D14:G14)</f>
        <v>17348.313219</v>
      </c>
      <c r="K14" s="124">
        <f>H14+H16</f>
        <v>17392.175358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43.862139</v>
      </c>
      <c r="E16" s="181"/>
      <c r="F16" s="181"/>
      <c r="G16" s="182"/>
      <c r="H16" s="120">
        <f>SUM(D16:G16)</f>
        <v>43.862139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8786.767461</v>
      </c>
      <c r="E18" s="181"/>
      <c r="F18" s="181"/>
      <c r="G18" s="182"/>
      <c r="H18" s="127">
        <f>SUM(D18:G18)</f>
        <v>8786.767461</v>
      </c>
      <c r="I18" s="92">
        <f>SUM(H14:H14)+H18</f>
        <v>26135.08068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26178.942819</v>
      </c>
    </row>
    <row r="22" ht="15">
      <c r="H22" s="122">
        <f>H20</f>
        <v>26178.942819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M10" sqref="M1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f>8284.50464</f>
        <v>8284.50464</v>
      </c>
      <c r="G14" s="133">
        <f>5873.538449-0.091415-5.564+49.122481</f>
        <v>5917.005515</v>
      </c>
      <c r="H14" s="77">
        <f>SUM(D14:G14)</f>
        <v>14201.510155</v>
      </c>
      <c r="K14" s="124">
        <f>H14+H16</f>
        <v>14256.957392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9">
        <v>55.447237</v>
      </c>
      <c r="E16" s="190"/>
      <c r="F16" s="190"/>
      <c r="G16" s="191"/>
      <c r="H16" s="120">
        <f>SUM(D16:G16)</f>
        <v>55.447237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9">
        <v>8811.256588</v>
      </c>
      <c r="E18" s="190"/>
      <c r="F18" s="190"/>
      <c r="G18" s="191"/>
      <c r="H18" s="127">
        <f>SUM(D18:G18)</f>
        <v>8811.256588</v>
      </c>
      <c r="I18" s="92">
        <f>SUM(H14:H14)+H18</f>
        <v>23012.766743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23068.21398</v>
      </c>
    </row>
    <row r="22" ht="15">
      <c r="H22" s="122">
        <f>H20</f>
        <v>23068.21398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B15" sqref="B15:H15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97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5893.40008</v>
      </c>
      <c r="G14" s="133">
        <v>5302.698743</v>
      </c>
      <c r="H14" s="77">
        <f>SUM(D14:G14)</f>
        <v>11196.098823</v>
      </c>
      <c r="K14" s="124">
        <f>H14+H16</f>
        <v>11231.863370000001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9">
        <v>35.764547</v>
      </c>
      <c r="E16" s="190"/>
      <c r="F16" s="190"/>
      <c r="G16" s="191"/>
      <c r="H16" s="120">
        <f>SUM(D16:G16)</f>
        <v>35.764547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9">
        <v>7854.509431</v>
      </c>
      <c r="E18" s="190"/>
      <c r="F18" s="190"/>
      <c r="G18" s="191"/>
      <c r="H18" s="127">
        <f>SUM(D18:G18)</f>
        <v>7854.509431</v>
      </c>
      <c r="I18" s="92">
        <f>SUM(H14:H14)+H18</f>
        <v>19050.608254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19086.372801</v>
      </c>
    </row>
    <row r="22" ht="15">
      <c r="H22" s="122">
        <f>H20</f>
        <v>19086.372801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K15" sqref="K15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5844.554956</v>
      </c>
      <c r="G14" s="133">
        <v>5332.828212</v>
      </c>
      <c r="H14" s="77">
        <f>SUM(D14:G14)</f>
        <v>11177.383168</v>
      </c>
      <c r="K14" s="124">
        <f>H14+H16</f>
        <v>11213.261311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9">
        <v>35.878143</v>
      </c>
      <c r="E16" s="190"/>
      <c r="F16" s="190"/>
      <c r="G16" s="191"/>
      <c r="H16" s="120">
        <f>SUM(D16:G16)</f>
        <v>35.878143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9">
        <v>7080.147088</v>
      </c>
      <c r="E18" s="190"/>
      <c r="F18" s="190"/>
      <c r="G18" s="191"/>
      <c r="H18" s="127">
        <f>SUM(D18:G18)</f>
        <v>7080.147088</v>
      </c>
      <c r="I18" s="92">
        <f>SUM(H14:H14)+H18</f>
        <v>18257.530256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18293.408399</v>
      </c>
    </row>
    <row r="22" ht="15">
      <c r="H22" s="122">
        <f>H20</f>
        <v>18293.408399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K14" sqref="K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99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7324.514509</v>
      </c>
      <c r="G14" s="133">
        <v>5671.525953</v>
      </c>
      <c r="H14" s="77">
        <f>SUM(D14:G14)</f>
        <v>12996.040462</v>
      </c>
      <c r="K14" s="124">
        <f>H14+H16</f>
        <v>13035.386836000001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9">
        <v>39.346374</v>
      </c>
      <c r="E16" s="190"/>
      <c r="F16" s="190"/>
      <c r="G16" s="191"/>
      <c r="H16" s="120">
        <f>SUM(D16:G16)</f>
        <v>39.346374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9">
        <v>7309.969315</v>
      </c>
      <c r="E18" s="190"/>
      <c r="F18" s="190"/>
      <c r="G18" s="191"/>
      <c r="H18" s="127">
        <f>SUM(D18:G18)</f>
        <v>7309.969315</v>
      </c>
      <c r="I18" s="92">
        <f>SUM(H14:H14)+H18</f>
        <v>20306.009777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20345.356151</v>
      </c>
    </row>
    <row r="22" ht="15">
      <c r="H22" s="122">
        <f>H20</f>
        <v>20345.356151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8" width="9.00390625" style="45" customWidth="1"/>
    <col min="9" max="9" width="0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44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86.377</v>
      </c>
      <c r="G15" s="35">
        <v>89.366</v>
      </c>
      <c r="H15" s="36">
        <f aca="true" t="shared" si="0" ref="H15:H24">SUM(D15:G15)</f>
        <v>175.743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92.389</v>
      </c>
      <c r="H16" s="36">
        <f t="shared" si="0"/>
        <v>92.389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12.213</v>
      </c>
      <c r="G17" s="35">
        <v>152.974</v>
      </c>
      <c r="H17" s="36">
        <f t="shared" si="0"/>
        <v>165.18699999999998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93.201</v>
      </c>
      <c r="H18" s="36">
        <f t="shared" si="0"/>
        <v>93.201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3586.896</v>
      </c>
      <c r="G20" s="35">
        <v>6068.048</v>
      </c>
      <c r="H20" s="36">
        <f t="shared" si="0"/>
        <v>9654.944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6.12</v>
      </c>
      <c r="H22" s="54">
        <f>SUM(D22:G22)</f>
        <v>6.12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4179.532</v>
      </c>
      <c r="G24" s="53">
        <v>6869.229</v>
      </c>
      <c r="H24" s="77">
        <f t="shared" si="0"/>
        <v>11048.761</v>
      </c>
      <c r="I24" s="92">
        <f>SUM(H15:H20)+H24</f>
        <v>21230.225</v>
      </c>
    </row>
    <row r="25" spans="1:8" ht="15">
      <c r="A25" s="78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v>9858.019</v>
      </c>
      <c r="E26" s="146"/>
      <c r="F26" s="146"/>
      <c r="G26" s="147"/>
      <c r="H26" s="36">
        <f>SUM(D26:G26)</f>
        <v>9858.019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31094.364</v>
      </c>
    </row>
  </sheetData>
  <sheetProtection/>
  <mergeCells count="13">
    <mergeCell ref="B23:H23"/>
    <mergeCell ref="B14:H14"/>
    <mergeCell ref="B21:H21"/>
    <mergeCell ref="B25:H25"/>
    <mergeCell ref="D26:G26"/>
    <mergeCell ref="A7:H7"/>
    <mergeCell ref="B9:B11"/>
    <mergeCell ref="D9:G10"/>
    <mergeCell ref="A2:H2"/>
    <mergeCell ref="A4:H4"/>
    <mergeCell ref="A5:H5"/>
    <mergeCell ref="A6:H6"/>
    <mergeCell ref="B13:H13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F14" sqref="F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100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9191.831339</v>
      </c>
      <c r="G14" s="133">
        <v>5894.009907</v>
      </c>
      <c r="H14" s="77">
        <f>SUM(D14:G14)</f>
        <v>15085.841246</v>
      </c>
      <c r="K14" s="124">
        <f>H14+H16</f>
        <v>15131.661257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9">
        <v>45.820011</v>
      </c>
      <c r="E16" s="190"/>
      <c r="F16" s="190"/>
      <c r="G16" s="191"/>
      <c r="H16" s="120">
        <f>SUM(D16:G16)</f>
        <v>45.820011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9">
        <v>8858.472695</v>
      </c>
      <c r="E18" s="190"/>
      <c r="F18" s="190"/>
      <c r="G18" s="191"/>
      <c r="H18" s="127">
        <f>SUM(D18:G18)</f>
        <v>8858.472695</v>
      </c>
      <c r="I18" s="92">
        <f>SUM(H14:H14)+H18</f>
        <v>23944.313941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23990.133952</v>
      </c>
    </row>
    <row r="22" ht="15">
      <c r="H22" s="122">
        <f>H20</f>
        <v>23990.133952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F14" sqref="B14:H2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101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12179.515952</v>
      </c>
      <c r="G14" s="114">
        <v>6785.390325</v>
      </c>
      <c r="H14" s="77">
        <f>SUM(D14:G14)</f>
        <v>18964.906277000002</v>
      </c>
      <c r="K14" s="124">
        <f>H14+H16</f>
        <v>19065.836777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100.9305</v>
      </c>
      <c r="E16" s="181"/>
      <c r="F16" s="181"/>
      <c r="G16" s="182"/>
      <c r="H16" s="120">
        <f>SUM(D16:G16)</f>
        <v>100.9305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9106.237112</v>
      </c>
      <c r="E18" s="181"/>
      <c r="F18" s="181"/>
      <c r="G18" s="182"/>
      <c r="H18" s="127">
        <f>SUM(D18:G18)</f>
        <v>9106.237112</v>
      </c>
      <c r="I18" s="92">
        <f>SUM(H14:H14)+H18</f>
        <v>28071.143389000004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28172.073889</v>
      </c>
    </row>
    <row r="22" ht="15">
      <c r="H22" s="122">
        <f>H20</f>
        <v>28172.073889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F14" sqref="F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102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11510.901977</v>
      </c>
      <c r="G14" s="114">
        <v>5243.406785</v>
      </c>
      <c r="H14" s="77">
        <f>SUM(D14:G14)</f>
        <v>16754.308762</v>
      </c>
      <c r="K14" s="124">
        <f>H14+H16</f>
        <v>16836.724169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82.415407</v>
      </c>
      <c r="E16" s="181"/>
      <c r="F16" s="181"/>
      <c r="G16" s="182"/>
      <c r="H16" s="120">
        <f>SUM(D16:G16)</f>
        <v>82.415407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7925.120475</v>
      </c>
      <c r="E18" s="181"/>
      <c r="F18" s="181"/>
      <c r="G18" s="182"/>
      <c r="H18" s="127">
        <f>SUM(D18:G18)</f>
        <v>7925.120475</v>
      </c>
      <c r="I18" s="92">
        <f>SUM(H14:H14)+H18</f>
        <v>24679.429237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24761.844644</v>
      </c>
    </row>
    <row r="22" ht="15">
      <c r="H22" s="122">
        <f>H20</f>
        <v>24761.844644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15399.769365+46.926792+162.541764</f>
        <v>15609.237921</v>
      </c>
      <c r="G14" s="114">
        <f>8378.050962+0.069428-0.387249+1.99</f>
        <v>8379.723141</v>
      </c>
      <c r="H14" s="77">
        <f>SUM(D14:G14)</f>
        <v>23988.961062000002</v>
      </c>
      <c r="K14" s="124">
        <f>H14+H16</f>
        <v>24072.992996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84.031934</v>
      </c>
      <c r="E16" s="181"/>
      <c r="F16" s="181"/>
      <c r="G16" s="182"/>
      <c r="H16" s="120">
        <f>SUM(D16:G16)</f>
        <v>84.031934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11421.036831</v>
      </c>
      <c r="E18" s="181"/>
      <c r="F18" s="181"/>
      <c r="G18" s="182"/>
      <c r="H18" s="127">
        <f>SUM(D18:G18)</f>
        <v>11421.036831</v>
      </c>
      <c r="I18" s="92">
        <f>SUM(H14:H14)+H18</f>
        <v>35409.997893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35494.029827</v>
      </c>
    </row>
    <row r="22" ht="15">
      <c r="H22" s="122">
        <f>H20</f>
        <v>35494.029827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5">
      <selection activeCell="H29" sqref="H2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14259.365527+40.240332+159.86718</f>
        <v>14459.473038999999</v>
      </c>
      <c r="G14" s="114">
        <f>7712.069103+4.236108+34.225098</f>
        <v>7750.530309</v>
      </c>
      <c r="H14" s="77">
        <f>SUM(D14:G14)</f>
        <v>22210.003348</v>
      </c>
      <c r="K14" s="124">
        <f>H14+H16</f>
        <v>22300.482260999997</v>
      </c>
    </row>
    <row r="15" spans="1:8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</row>
    <row r="16" spans="1:8" ht="17.25" customHeight="1">
      <c r="A16" s="55"/>
      <c r="B16" s="57"/>
      <c r="C16" s="53" t="s">
        <v>2</v>
      </c>
      <c r="D16" s="180">
        <v>90.478913</v>
      </c>
      <c r="E16" s="181"/>
      <c r="F16" s="181"/>
      <c r="G16" s="182"/>
      <c r="H16" s="120">
        <f>SUM(D16:G16)</f>
        <v>90.478913</v>
      </c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40</v>
      </c>
      <c r="C18" s="35" t="s">
        <v>2</v>
      </c>
      <c r="D18" s="180">
        <v>10000.854723</v>
      </c>
      <c r="E18" s="181"/>
      <c r="F18" s="181"/>
      <c r="G18" s="182"/>
      <c r="H18" s="127">
        <f>SUM(D18:G18)</f>
        <v>10000.854723</v>
      </c>
      <c r="I18" s="92">
        <f>SUM(H14:H14)+H18</f>
        <v>32210.858071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32301.336983999998</v>
      </c>
    </row>
    <row r="22" ht="15">
      <c r="H22" s="122">
        <f>H20</f>
        <v>32301.336983999998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6" sqref="D16:G16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105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13034.66518+20.05938+111.477245</f>
        <v>13166.201805</v>
      </c>
      <c r="G14" s="114">
        <f>-0.4281-0.149071+6695.739494-0.043315-5.717585+81.000196</f>
        <v>6770.401619</v>
      </c>
      <c r="H14" s="77">
        <f>SUM(D14:G14)</f>
        <v>19936.603424</v>
      </c>
      <c r="K14" s="124">
        <f>H14+H16</f>
        <v>19987.385086000002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50.781662</v>
      </c>
      <c r="E16" s="181"/>
      <c r="F16" s="181"/>
      <c r="G16" s="182"/>
      <c r="H16" s="120">
        <f>SUM(D16:G16)</f>
        <v>50.781662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9873.864764</v>
      </c>
      <c r="E18" s="181"/>
      <c r="F18" s="181"/>
      <c r="G18" s="182"/>
      <c r="H18" s="127">
        <f>SUM(D18:G18)</f>
        <v>9873.864764</v>
      </c>
      <c r="I18" s="92">
        <f>SUM(H14:H14)+H18</f>
        <v>29810.468188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29861.24985</v>
      </c>
    </row>
    <row r="22" ht="15">
      <c r="H22" s="122">
        <f>H20</f>
        <v>29861.24985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P21" sqref="P21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107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10541.113458+15.318072+2.297+27.985098</f>
        <v>10586.713628</v>
      </c>
      <c r="G14" s="114">
        <f>5375.282065+93.732012+26.9978</f>
        <v>5496.011877000001</v>
      </c>
      <c r="H14" s="77">
        <f>SUM(D14:G14)</f>
        <v>16082.725505</v>
      </c>
      <c r="K14" s="124">
        <f>H14+H16</f>
        <v>16140.101201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57.375696</v>
      </c>
      <c r="E16" s="181"/>
      <c r="F16" s="181"/>
      <c r="G16" s="182"/>
      <c r="H16" s="120">
        <f>SUM(D16:G16)</f>
        <v>57.375696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8365.321089</v>
      </c>
      <c r="E18" s="181"/>
      <c r="F18" s="181"/>
      <c r="G18" s="182"/>
      <c r="H18" s="127">
        <f>SUM(D18:G18)</f>
        <v>8365.321089</v>
      </c>
      <c r="I18" s="92">
        <f>SUM(H14:H14)+H18</f>
        <v>24448.046594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24505.42229</v>
      </c>
    </row>
    <row r="22" ht="15">
      <c r="H22" s="122">
        <f>H20</f>
        <v>24505.42229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A7" sqref="A7:H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108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7690.784775+9.239472-12.005774</f>
        <v>7688.018473</v>
      </c>
      <c r="G14" s="114">
        <f>5029.040904+79.872804</f>
        <v>5108.913708</v>
      </c>
      <c r="H14" s="77">
        <f>SUM(D14:G14)</f>
        <v>12796.932181</v>
      </c>
      <c r="K14" s="124">
        <f>H14+H16</f>
        <v>12844.530267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47.598086</v>
      </c>
      <c r="E16" s="181"/>
      <c r="F16" s="181"/>
      <c r="G16" s="182"/>
      <c r="H16" s="120">
        <f>SUM(D16:G16)</f>
        <v>47.598086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8628.616067</v>
      </c>
      <c r="E18" s="181"/>
      <c r="F18" s="181"/>
      <c r="G18" s="182"/>
      <c r="H18" s="127">
        <f>SUM(D18:G18)</f>
        <v>8628.616067</v>
      </c>
      <c r="I18" s="92">
        <f>SUM(H14:H14)+H18</f>
        <v>21425.548248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21473.146334</v>
      </c>
    </row>
    <row r="22" ht="15">
      <c r="H22" s="122">
        <f>H20</f>
        <v>21473.146334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K14" sqref="K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111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5.024976+47.00784+2888.57611+2831.028634+2.512488+23.50392+27.985098</f>
        <v>5825.639066</v>
      </c>
      <c r="G14" s="114">
        <f>2213.774788+2613.308968</f>
        <v>4827.083756</v>
      </c>
      <c r="H14" s="77">
        <f>SUM(D14:G14)</f>
        <v>10652.722822</v>
      </c>
      <c r="K14" s="124">
        <f>H14+H16</f>
        <v>10699.779588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47.056766</v>
      </c>
      <c r="E16" s="181"/>
      <c r="F16" s="181"/>
      <c r="G16" s="182"/>
      <c r="H16" s="120">
        <f>SUM(D16:G16)</f>
        <v>47.056766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7680.574855</v>
      </c>
      <c r="E18" s="181"/>
      <c r="F18" s="181"/>
      <c r="G18" s="182"/>
      <c r="H18" s="127">
        <f>SUM(D18:G18)</f>
        <v>7680.574855</v>
      </c>
      <c r="I18" s="92">
        <f>SUM(H14:H14)+H18</f>
        <v>18333.297677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18380.354443</v>
      </c>
    </row>
    <row r="22" ht="15">
      <c r="H22" s="122">
        <f>H20</f>
        <v>18380.354443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Q21" sqref="Q21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112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8.266896+71.11962+6323.367608+72.742137+78.172999</f>
        <v>6553.66926</v>
      </c>
      <c r="G14" s="114">
        <f>4764.122266-29.284654+3.761906</f>
        <v>4738.599518</v>
      </c>
      <c r="H14" s="77">
        <f>SUM(D14:G14)</f>
        <v>11292.268778</v>
      </c>
      <c r="K14" s="124">
        <f>H14+H16</f>
        <v>11330.965898999999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38.697121</v>
      </c>
      <c r="E16" s="181"/>
      <c r="F16" s="181"/>
      <c r="G16" s="182"/>
      <c r="H16" s="120">
        <f>SUM(D16:G16)</f>
        <v>38.697121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6920.25371</v>
      </c>
      <c r="E18" s="181"/>
      <c r="F18" s="181"/>
      <c r="G18" s="182"/>
      <c r="H18" s="127">
        <f>SUM(D18:G18)</f>
        <v>6920.25371</v>
      </c>
      <c r="I18" s="92">
        <f>SUM(H14:H14)+H18</f>
        <v>18212.522488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18251.219609</v>
      </c>
    </row>
    <row r="22" ht="15">
      <c r="H22" s="122">
        <f>H20</f>
        <v>18251.219609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0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8" width="9.00390625" style="45" customWidth="1"/>
    <col min="9" max="9" width="9.140625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48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4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35">
        <v>-4.391</v>
      </c>
      <c r="H20" s="36">
        <f t="shared" si="0"/>
        <v>-4.391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43.915</v>
      </c>
      <c r="H22" s="54">
        <f>SUM(D22:G22)</f>
        <v>43.915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6375.718</v>
      </c>
      <c r="G24" s="53">
        <v>10687.382</v>
      </c>
      <c r="H24" s="77">
        <f t="shared" si="0"/>
        <v>17063.1</v>
      </c>
      <c r="I24" s="92">
        <f>SUM(H15:H20)+H24</f>
        <v>17058.709</v>
      </c>
    </row>
    <row r="25" spans="1:8" ht="15">
      <c r="A25" s="78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v>9242.325</v>
      </c>
      <c r="E26" s="146"/>
      <c r="F26" s="146"/>
      <c r="G26" s="147"/>
      <c r="H26" s="36">
        <f>SUM(D26:G26)</f>
        <v>9242.325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26344.949</v>
      </c>
    </row>
  </sheetData>
  <sheetProtection/>
  <mergeCells count="13">
    <mergeCell ref="B23:H23"/>
    <mergeCell ref="B25:H25"/>
    <mergeCell ref="B21:H21"/>
    <mergeCell ref="D26:G26"/>
    <mergeCell ref="A2:H2"/>
    <mergeCell ref="A4:H4"/>
    <mergeCell ref="A5:H5"/>
    <mergeCell ref="A6:H6"/>
    <mergeCell ref="A7:H7"/>
    <mergeCell ref="B9:B11"/>
    <mergeCell ref="D9:G10"/>
    <mergeCell ref="B13:H13"/>
    <mergeCell ref="B14:H1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A8" sqref="A8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113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8.266896+72.9432+6848.490897+7.574909+50.774</f>
        <v>6988.049902</v>
      </c>
      <c r="G14" s="114">
        <f>4909.886458+7.259729-0.082435</f>
        <v>4917.063752</v>
      </c>
      <c r="H14" s="77">
        <f>SUM(D14:G14)</f>
        <v>11905.113654</v>
      </c>
      <c r="K14" s="124">
        <f>H14+H16</f>
        <v>11940.789204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35.67555</v>
      </c>
      <c r="E16" s="181"/>
      <c r="F16" s="181"/>
      <c r="G16" s="182"/>
      <c r="H16" s="120">
        <f>SUM(D16:G16)</f>
        <v>35.67555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8122.295489</v>
      </c>
      <c r="E18" s="181"/>
      <c r="F18" s="181"/>
      <c r="G18" s="182"/>
      <c r="H18" s="127">
        <f>SUM(D18:G18)</f>
        <v>8122.295489</v>
      </c>
      <c r="I18" s="92">
        <f>SUM(H14:H14)+H18</f>
        <v>20027.409143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20063.084693</v>
      </c>
    </row>
    <row r="22" ht="15">
      <c r="H22" s="122">
        <f>H20</f>
        <v>20063.084693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114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10445.012883-80.58556+55.146</f>
        <v>10419.573323</v>
      </c>
      <c r="G14" s="114">
        <f>5221.737204-3.145699</f>
        <v>5218.591505</v>
      </c>
      <c r="H14" s="77">
        <f>SUM(D14:G14)</f>
        <v>15638.164828</v>
      </c>
      <c r="K14" s="124">
        <f>H14+H16</f>
        <v>15686.724846000001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48.560018</v>
      </c>
      <c r="E16" s="181"/>
      <c r="F16" s="181"/>
      <c r="G16" s="182"/>
      <c r="H16" s="120">
        <f>SUM(D16:G16)</f>
        <v>48.560018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11067.107163</v>
      </c>
      <c r="E18" s="181"/>
      <c r="F18" s="181"/>
      <c r="G18" s="182"/>
      <c r="H18" s="127">
        <f>SUM(D18:G18)</f>
        <v>11067.107163</v>
      </c>
      <c r="I18" s="92">
        <f>SUM(H14:H14)+H18</f>
        <v>26705.271991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26753.832009</v>
      </c>
    </row>
    <row r="22" ht="15">
      <c r="H22" s="122">
        <f>H20</f>
        <v>26753.832009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115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12917.075391+0.2+57.873952</f>
        <v>12975.149343000001</v>
      </c>
      <c r="G14" s="114">
        <f>6433.334805-3.144162</f>
        <v>6430.190643000001</v>
      </c>
      <c r="H14" s="77">
        <f>SUM(D14:G14)</f>
        <v>19405.339986000003</v>
      </c>
      <c r="K14" s="124">
        <f>H14+H16</f>
        <v>19474.286206000004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68.94622</v>
      </c>
      <c r="E16" s="181"/>
      <c r="F16" s="181"/>
      <c r="G16" s="182"/>
      <c r="H16" s="120">
        <f>SUM(D16:G16)</f>
        <v>68.94622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v>8606.417536</v>
      </c>
      <c r="E18" s="181"/>
      <c r="F18" s="181"/>
      <c r="G18" s="182"/>
      <c r="H18" s="127">
        <f>SUM(D18:G18)</f>
        <v>8606.417536</v>
      </c>
      <c r="I18" s="92">
        <f>SUM(H14:H14)+H18</f>
        <v>28011.757522000004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28080.703742000005</v>
      </c>
    </row>
    <row r="22" ht="15">
      <c r="H22" s="122">
        <f>H20</f>
        <v>28080.703742000005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tabSelected="1"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110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116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83" t="s">
        <v>5</v>
      </c>
      <c r="E9" s="184"/>
      <c r="F9" s="184"/>
      <c r="G9" s="185"/>
      <c r="H9" s="72"/>
    </row>
    <row r="10" spans="1:8" ht="16.5" customHeight="1">
      <c r="A10" s="73" t="s">
        <v>6</v>
      </c>
      <c r="B10" s="149"/>
      <c r="C10" s="74" t="s">
        <v>7</v>
      </c>
      <c r="D10" s="186"/>
      <c r="E10" s="187"/>
      <c r="F10" s="187"/>
      <c r="G10" s="188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18468.712-93.469-33.51+169.583</f>
        <v>18511.316</v>
      </c>
      <c r="G14" s="138">
        <f>10013.534-16.327-16.192+10.184-2.917</f>
        <v>9988.282000000001</v>
      </c>
      <c r="H14" s="77">
        <f>SUM(D14:G14)</f>
        <v>28499.597999999998</v>
      </c>
      <c r="K14" s="124">
        <f>H14+H16</f>
        <v>28574.038999999997</v>
      </c>
    </row>
    <row r="15" spans="1:11" ht="17.25" customHeight="1">
      <c r="A15" s="56" t="s">
        <v>38</v>
      </c>
      <c r="B15" s="139" t="s">
        <v>53</v>
      </c>
      <c r="C15" s="139"/>
      <c r="D15" s="139"/>
      <c r="E15" s="139"/>
      <c r="F15" s="139"/>
      <c r="G15" s="139"/>
      <c r="H15" s="179"/>
      <c r="K15" s="124"/>
    </row>
    <row r="16" spans="1:11" ht="17.25" customHeight="1">
      <c r="A16" s="55"/>
      <c r="B16" s="57"/>
      <c r="C16" s="53" t="s">
        <v>2</v>
      </c>
      <c r="D16" s="180">
        <v>74.441</v>
      </c>
      <c r="E16" s="181"/>
      <c r="F16" s="181"/>
      <c r="G16" s="182"/>
      <c r="H16" s="120">
        <f>SUM(D16:G16)</f>
        <v>74.441</v>
      </c>
      <c r="K16" s="124"/>
    </row>
    <row r="17" spans="1:8" ht="17.25" customHeight="1">
      <c r="A17" s="91" t="s">
        <v>45</v>
      </c>
      <c r="B17" s="159" t="s">
        <v>39</v>
      </c>
      <c r="C17" s="160"/>
      <c r="D17" s="160"/>
      <c r="E17" s="160"/>
      <c r="F17" s="160"/>
      <c r="G17" s="160"/>
      <c r="H17" s="161"/>
    </row>
    <row r="18" spans="1:14" ht="30" customHeight="1">
      <c r="A18" s="33" t="s">
        <v>52</v>
      </c>
      <c r="B18" s="34" t="s">
        <v>106</v>
      </c>
      <c r="C18" s="35" t="s">
        <v>2</v>
      </c>
      <c r="D18" s="180">
        <f>11386.504-2432.1394</f>
        <v>8954.3646</v>
      </c>
      <c r="E18" s="181"/>
      <c r="F18" s="181"/>
      <c r="G18" s="182"/>
      <c r="H18" s="127">
        <f>SUM(D18:G18)</f>
        <v>8954.3646</v>
      </c>
      <c r="I18" s="92">
        <f>SUM(H14:H14)+H18</f>
        <v>37453.9626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37528.4036</v>
      </c>
    </row>
    <row r="21" ht="15">
      <c r="K21" s="124"/>
    </row>
    <row r="22" ht="15">
      <c r="H22" s="122">
        <f>H20</f>
        <v>37528.4036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7" sqref="T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49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4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7">
        <v>0</v>
      </c>
      <c r="H17" s="21">
        <f t="shared" si="0"/>
        <v>0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7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7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9.468</v>
      </c>
      <c r="G20" s="7">
        <v>-10.1</v>
      </c>
      <c r="H20" s="21">
        <f t="shared" si="0"/>
        <v>-0.6319999999999997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21.911</v>
      </c>
      <c r="H22" s="54">
        <f>SUM(D22:G22)</f>
        <v>21.911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4766.859</v>
      </c>
      <c r="G24" s="10">
        <v>8926.971</v>
      </c>
      <c r="H24" s="22">
        <f t="shared" si="0"/>
        <v>13693.83</v>
      </c>
      <c r="I24" s="39">
        <f>SUM(H15:H20)+H24</f>
        <v>13693.198</v>
      </c>
    </row>
    <row r="25" spans="1:8" ht="15">
      <c r="A25" s="31" t="s">
        <v>54</v>
      </c>
      <c r="B25" s="163" t="s">
        <v>39</v>
      </c>
      <c r="C25" s="164"/>
      <c r="D25" s="164"/>
      <c r="E25" s="164"/>
      <c r="F25" s="164"/>
      <c r="G25" s="164"/>
      <c r="H25" s="165"/>
    </row>
    <row r="26" spans="1:8" ht="30">
      <c r="A26" s="33" t="s">
        <v>55</v>
      </c>
      <c r="B26" s="34" t="s">
        <v>40</v>
      </c>
      <c r="C26" s="35" t="s">
        <v>2</v>
      </c>
      <c r="D26" s="145">
        <v>9224.341</v>
      </c>
      <c r="E26" s="146"/>
      <c r="F26" s="146"/>
      <c r="G26" s="147"/>
      <c r="H26" s="36">
        <f>SUM(D26:G26)</f>
        <v>9224.341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32">
        <f>SUM(H13:H26)</f>
        <v>22939.45</v>
      </c>
    </row>
  </sheetData>
  <sheetProtection/>
  <mergeCells count="13">
    <mergeCell ref="B9:B11"/>
    <mergeCell ref="D9:G10"/>
    <mergeCell ref="B21:H21"/>
    <mergeCell ref="B13:H13"/>
    <mergeCell ref="B14:H14"/>
    <mergeCell ref="B23:H23"/>
    <mergeCell ref="B25:H25"/>
    <mergeCell ref="D26:G26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7.8515625" style="45" customWidth="1"/>
    <col min="6" max="6" width="9.28125" style="45" customWidth="1"/>
    <col min="7" max="7" width="9.00390625" style="45" customWidth="1"/>
    <col min="8" max="8" width="10.140625" style="45" customWidth="1"/>
    <col min="9" max="9" width="9.140625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0" t="s">
        <v>0</v>
      </c>
      <c r="B2" s="140"/>
      <c r="C2" s="140"/>
      <c r="D2" s="140"/>
      <c r="E2" s="140"/>
      <c r="F2" s="140"/>
      <c r="G2" s="140"/>
      <c r="H2" s="140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23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21</v>
      </c>
      <c r="B6" s="140"/>
      <c r="C6" s="140"/>
      <c r="D6" s="140"/>
      <c r="E6" s="140"/>
      <c r="F6" s="140"/>
      <c r="G6" s="140"/>
      <c r="H6" s="140"/>
    </row>
    <row r="7" spans="1:8" ht="15.75">
      <c r="A7" s="140" t="s">
        <v>56</v>
      </c>
      <c r="B7" s="140"/>
      <c r="C7" s="140"/>
      <c r="D7" s="140"/>
      <c r="E7" s="140"/>
      <c r="F7" s="140"/>
      <c r="G7" s="140"/>
      <c r="H7" s="140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48" t="s">
        <v>20</v>
      </c>
      <c r="C9" s="71"/>
      <c r="D9" s="150" t="s">
        <v>5</v>
      </c>
      <c r="E9" s="151"/>
      <c r="F9" s="151"/>
      <c r="G9" s="152"/>
      <c r="H9" s="72"/>
    </row>
    <row r="10" spans="1:8" ht="16.5" customHeight="1">
      <c r="A10" s="73" t="s">
        <v>6</v>
      </c>
      <c r="B10" s="149"/>
      <c r="C10" s="74" t="s">
        <v>7</v>
      </c>
      <c r="D10" s="153"/>
      <c r="E10" s="154"/>
      <c r="F10" s="154"/>
      <c r="G10" s="155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6" t="s">
        <v>24</v>
      </c>
      <c r="C13" s="157"/>
      <c r="D13" s="157"/>
      <c r="E13" s="157"/>
      <c r="F13" s="157"/>
      <c r="G13" s="157"/>
      <c r="H13" s="158"/>
    </row>
    <row r="14" spans="1:8" ht="33.75" customHeight="1">
      <c r="A14" s="33" t="s">
        <v>1</v>
      </c>
      <c r="B14" s="159" t="s">
        <v>25</v>
      </c>
      <c r="C14" s="160"/>
      <c r="D14" s="160"/>
      <c r="E14" s="160"/>
      <c r="F14" s="160"/>
      <c r="G14" s="160"/>
      <c r="H14" s="161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f>январь2012!D15+февраль2012!D15+март2012!D15+апрель2012!D15+'май 2012'!D15+'июнь 2012'!D15</f>
        <v>0</v>
      </c>
      <c r="E15" s="51">
        <f>январь2012!E15+февраль2012!E15+март2012!E15+апрель2012!E15+'май 2012'!E15+'июнь 2012'!E15</f>
        <v>0</v>
      </c>
      <c r="F15" s="51">
        <f>январь2012!F15+февраль2012!F15+март2012!F15+апрель2012!F15+'май 2012'!F15+'июнь 2012'!F15</f>
        <v>3262.618</v>
      </c>
      <c r="G15" s="51">
        <f>январь2012!G15+февраль2012!G15+март2012!G15+апрель2012!G15+'май 2012'!G15+'июнь 2012'!G15</f>
        <v>1319.2530000000002</v>
      </c>
      <c r="H15" s="36">
        <f aca="true" t="shared" si="0" ref="H15:H20">SUM(D15:G15)</f>
        <v>4581.871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f>январь2012!D16+февраль2012!D16+март2012!D16+апрель2012!D16+'май 2012'!D16+'июнь 2012'!D16</f>
        <v>0</v>
      </c>
      <c r="E16" s="51">
        <f>январь2012!E16+февраль2012!E16+март2012!E16+апрель2012!E16+'май 2012'!E16+'июнь 2012'!E16</f>
        <v>0</v>
      </c>
      <c r="F16" s="51">
        <f>январь2012!F16+февраль2012!F16+март2012!F16+апрель2012!F16+'май 2012'!F16+'июнь 2012'!F16</f>
        <v>0</v>
      </c>
      <c r="G16" s="51">
        <f>январь2012!G16+февраль2012!G16+март2012!G16+апрель2012!G16+'май 2012'!G16+'июнь 2012'!G16</f>
        <v>401.146</v>
      </c>
      <c r="H16" s="36">
        <f t="shared" si="0"/>
        <v>401.146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f>январь2012!D17+февраль2012!D17+март2012!D17+апрель2012!D17+'май 2012'!D17+'июнь 2012'!D17</f>
        <v>0</v>
      </c>
      <c r="E17" s="51">
        <f>январь2012!E17+февраль2012!E17+март2012!E17+апрель2012!E17+'май 2012'!E17+'июнь 2012'!E17</f>
        <v>0</v>
      </c>
      <c r="F17" s="51">
        <f>январь2012!F17+февраль2012!F17+март2012!F17+апрель2012!F17+'май 2012'!F17+'июнь 2012'!F17</f>
        <v>57.805</v>
      </c>
      <c r="G17" s="51">
        <f>январь2012!G17+февраль2012!G17+март2012!G17+апрель2012!G17+'май 2012'!G17+'июнь 2012'!G17</f>
        <v>759.4300000000001</v>
      </c>
      <c r="H17" s="36">
        <f t="shared" si="0"/>
        <v>817.235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f>январь2012!D18+февраль2012!D18+март2012!D18+апрель2012!D18+'май 2012'!D18+'июнь 2012'!D18</f>
        <v>0</v>
      </c>
      <c r="E18" s="51">
        <f>январь2012!E18+февраль2012!E18+март2012!E18+апрель2012!E18+'май 2012'!E18+'июнь 2012'!E18</f>
        <v>0</v>
      </c>
      <c r="F18" s="51">
        <f>январь2012!F18+февраль2012!F18+март2012!F18+апрель2012!F18+'май 2012'!F18+'июнь 2012'!F18</f>
        <v>0</v>
      </c>
      <c r="G18" s="51">
        <f>январь2012!G18+февраль2012!G18+март2012!G18+апрель2012!G18+'май 2012'!G18+'июнь 2012'!G18</f>
        <v>298.431</v>
      </c>
      <c r="H18" s="36">
        <f t="shared" si="0"/>
        <v>298.431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f>январь2012!D19+февраль2012!D19+март2012!D19+апрель2012!D19+'май 2012'!D19+'июнь 2012'!D19</f>
        <v>0</v>
      </c>
      <c r="E19" s="51">
        <f>январь2012!E19+февраль2012!E19+март2012!E19+апрель2012!E19+'май 2012'!E19+'июнь 2012'!E19</f>
        <v>0</v>
      </c>
      <c r="F19" s="51">
        <f>январь2012!F19+февраль2012!F19+март2012!F19+апрель2012!F19+'май 2012'!F19+'июнь 2012'!F19</f>
        <v>0</v>
      </c>
      <c r="G19" s="51">
        <f>январь2012!G19+февраль2012!G19+март2012!G19+апрель2012!G19+'май 2012'!G19+'июнь 2012'!G19</f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37</v>
      </c>
      <c r="C20" s="35" t="s">
        <v>2</v>
      </c>
      <c r="D20" s="51">
        <f>январь2012!D20+февраль2012!D20+март2012!D20+апрель2012!D20+'май 2012'!D20+'июнь 2012'!D20</f>
        <v>0</v>
      </c>
      <c r="E20" s="51">
        <f>январь2012!E20+февраль2012!E20+март2012!E20+апрель2012!E20+'май 2012'!E20+'июнь 2012'!E20</f>
        <v>0</v>
      </c>
      <c r="F20" s="51">
        <f>январь2012!F20+февраль2012!F20+март2012!F20+апрель2012!F20+'май 2012'!F20+'июнь 2012'!F20</f>
        <v>24966.938000000002</v>
      </c>
      <c r="G20" s="51">
        <f>январь2012!G20+февраль2012!G20+март2012!G20+апрель2012!G20+'май 2012'!G20+'июнь 2012'!G20</f>
        <v>42621.508</v>
      </c>
      <c r="H20" s="36">
        <f t="shared" si="0"/>
        <v>67588.446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1">
        <f>январь2012!D22+февраль2012!D22+март2012!D22+апрель2012!D22+'май 2012'!D22+'июнь 2012'!D22</f>
        <v>0</v>
      </c>
      <c r="E22" s="51">
        <f>январь2012!E22+февраль2012!E22+март2012!E22+апрель2012!E22+'май 2012'!E22+'июнь 2012'!E22</f>
        <v>0</v>
      </c>
      <c r="F22" s="51">
        <f>январь2012!F22+февраль2012!F22+март2012!F22+апрель2012!F22+'май 2012'!F22+'июнь 2012'!F22</f>
        <v>0</v>
      </c>
      <c r="G22" s="51">
        <f>январь2012!G22+февраль2012!G22+март2012!G22+апрель2012!G22+'май 2012'!G22+'июнь 2012'!G22</f>
        <v>139.982</v>
      </c>
      <c r="H22" s="36">
        <f>SUM(D22:G22)</f>
        <v>139.982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f>апрель2012!D24+'май 2012'!D24+'июнь 2012'!D24</f>
        <v>0</v>
      </c>
      <c r="E24" s="53">
        <f>апрель2012!E24+'май 2012'!E24+'июнь 2012'!E24</f>
        <v>0</v>
      </c>
      <c r="F24" s="53">
        <f>апрель2012!F24+'май 2012'!F24+'июнь 2012'!F24</f>
        <v>15322.109</v>
      </c>
      <c r="G24" s="53">
        <f>апрель2012!G24+'май 2012'!G24+'июнь 2012'!G24</f>
        <v>26483.582000000002</v>
      </c>
      <c r="H24" s="54">
        <f>SUM(D24:G24)</f>
        <v>41805.691000000006</v>
      </c>
      <c r="I24" s="92">
        <f>SUM(H15:H20)+H24</f>
        <v>115492.82</v>
      </c>
    </row>
    <row r="25" spans="1:8" ht="15">
      <c r="A25" s="78" t="s">
        <v>54</v>
      </c>
      <c r="B25" s="159" t="s">
        <v>39</v>
      </c>
      <c r="C25" s="160"/>
      <c r="D25" s="160"/>
      <c r="E25" s="160"/>
      <c r="F25" s="160"/>
      <c r="G25" s="160"/>
      <c r="H25" s="161"/>
    </row>
    <row r="26" spans="1:8" ht="30">
      <c r="A26" s="33" t="s">
        <v>55</v>
      </c>
      <c r="B26" s="34" t="s">
        <v>40</v>
      </c>
      <c r="C26" s="35" t="s">
        <v>2</v>
      </c>
      <c r="D26" s="145">
        <f>январь2012!D24+февраль2012!D24+март2012!D24+апрель2012!D26+'май 2012'!D26:G26+'июнь 2012'!D26:G26</f>
        <v>58069.547999999995</v>
      </c>
      <c r="E26" s="146"/>
      <c r="F26" s="146"/>
      <c r="G26" s="147"/>
      <c r="H26" s="36">
        <f>SUM(D26:G26)</f>
        <v>58069.547999999995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173702.35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21:H21"/>
    <mergeCell ref="D26:G26"/>
    <mergeCell ref="B13:H13"/>
    <mergeCell ref="B14:H14"/>
    <mergeCell ref="B23:H23"/>
    <mergeCell ref="B25:H2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2" t="s">
        <v>0</v>
      </c>
      <c r="B2" s="162"/>
      <c r="C2" s="162"/>
      <c r="D2" s="162"/>
      <c r="E2" s="162"/>
      <c r="F2" s="162"/>
      <c r="G2" s="162"/>
      <c r="H2" s="162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2" t="s">
        <v>22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23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21</v>
      </c>
      <c r="B6" s="162"/>
      <c r="C6" s="162"/>
      <c r="D6" s="162"/>
      <c r="E6" s="162"/>
      <c r="F6" s="162"/>
      <c r="G6" s="162"/>
      <c r="H6" s="162"/>
    </row>
    <row r="7" spans="1:8" ht="15.75">
      <c r="A7" s="162" t="s">
        <v>58</v>
      </c>
      <c r="B7" s="162"/>
      <c r="C7" s="162"/>
      <c r="D7" s="162"/>
      <c r="E7" s="162"/>
      <c r="F7" s="162"/>
      <c r="G7" s="162"/>
      <c r="H7" s="162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6" t="s">
        <v>20</v>
      </c>
      <c r="C9" s="16"/>
      <c r="D9" s="169" t="s">
        <v>5</v>
      </c>
      <c r="E9" s="170"/>
      <c r="F9" s="170"/>
      <c r="G9" s="171"/>
      <c r="H9" s="17"/>
    </row>
    <row r="10" spans="1:8" ht="16.5" customHeight="1">
      <c r="A10" s="18" t="s">
        <v>6</v>
      </c>
      <c r="B10" s="167"/>
      <c r="C10" s="6" t="s">
        <v>7</v>
      </c>
      <c r="D10" s="172"/>
      <c r="E10" s="173"/>
      <c r="F10" s="173"/>
      <c r="G10" s="174"/>
      <c r="H10" s="19" t="s">
        <v>3</v>
      </c>
    </row>
    <row r="11" spans="1:8" ht="35.25" customHeight="1">
      <c r="A11" s="20"/>
      <c r="B11" s="168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5" t="s">
        <v>24</v>
      </c>
      <c r="C13" s="176"/>
      <c r="D13" s="176"/>
      <c r="E13" s="176"/>
      <c r="F13" s="176"/>
      <c r="G13" s="176"/>
      <c r="H13" s="177"/>
    </row>
    <row r="14" spans="1:8" ht="33.75" customHeight="1">
      <c r="A14" s="27" t="s">
        <v>1</v>
      </c>
      <c r="B14" s="163" t="s">
        <v>25</v>
      </c>
      <c r="C14" s="164"/>
      <c r="D14" s="164"/>
      <c r="E14" s="164"/>
      <c r="F14" s="164"/>
      <c r="G14" s="164"/>
      <c r="H14" s="165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4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113">
        <v>5.611</v>
      </c>
      <c r="H17" s="21">
        <f t="shared" si="0"/>
        <v>5.611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113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113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13.769</v>
      </c>
      <c r="G20" s="113">
        <v>-17.318</v>
      </c>
      <c r="H20" s="21">
        <f t="shared" si="0"/>
        <v>-3.5490000000000013</v>
      </c>
    </row>
    <row r="21" spans="1:8" ht="17.25" customHeight="1">
      <c r="A21" s="56" t="s">
        <v>38</v>
      </c>
      <c r="B21" s="139" t="s">
        <v>53</v>
      </c>
      <c r="C21" s="139"/>
      <c r="D21" s="139"/>
      <c r="E21" s="139"/>
      <c r="F21" s="139"/>
      <c r="G21" s="139"/>
      <c r="H21" s="139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12.015</v>
      </c>
      <c r="H22" s="54">
        <f>SUM(D22:G22)</f>
        <v>12.015</v>
      </c>
    </row>
    <row r="23" spans="1:8" ht="17.25" customHeight="1">
      <c r="A23" s="91" t="s">
        <v>45</v>
      </c>
      <c r="B23" s="156" t="s">
        <v>47</v>
      </c>
      <c r="C23" s="157"/>
      <c r="D23" s="157"/>
      <c r="E23" s="157"/>
      <c r="F23" s="157"/>
      <c r="G23" s="157"/>
      <c r="H23" s="158"/>
    </row>
    <row r="24" spans="1:9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4206.895</v>
      </c>
      <c r="G24" s="10">
        <v>7229.351</v>
      </c>
      <c r="H24" s="22">
        <f t="shared" si="0"/>
        <v>11436.246</v>
      </c>
      <c r="I24" s="39">
        <f>SUM(H15:H20)+H24</f>
        <v>11438.307999999999</v>
      </c>
    </row>
    <row r="25" spans="1:8" ht="15">
      <c r="A25" s="31" t="s">
        <v>54</v>
      </c>
      <c r="B25" s="163" t="s">
        <v>39</v>
      </c>
      <c r="C25" s="164"/>
      <c r="D25" s="164"/>
      <c r="E25" s="164"/>
      <c r="F25" s="164"/>
      <c r="G25" s="164"/>
      <c r="H25" s="165"/>
    </row>
    <row r="26" spans="1:8" ht="30">
      <c r="A26" s="33" t="s">
        <v>55</v>
      </c>
      <c r="B26" s="34" t="s">
        <v>40</v>
      </c>
      <c r="C26" s="35" t="s">
        <v>2</v>
      </c>
      <c r="D26" s="145">
        <v>7636.7</v>
      </c>
      <c r="E26" s="146"/>
      <c r="F26" s="146"/>
      <c r="G26" s="147"/>
      <c r="H26" s="36">
        <f>SUM(D26:G26)</f>
        <v>7636.7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32">
        <f>SUM(H13:H26)</f>
        <v>19087.022999999997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lazareva</cp:lastModifiedBy>
  <cp:lastPrinted>2016-03-15T01:01:54Z</cp:lastPrinted>
  <dcterms:created xsi:type="dcterms:W3CDTF">2010-06-16T04:24:05Z</dcterms:created>
  <dcterms:modified xsi:type="dcterms:W3CDTF">2017-01-23T21:27:18Z</dcterms:modified>
  <cp:category/>
  <cp:version/>
  <cp:contentType/>
  <cp:contentStatus/>
</cp:coreProperties>
</file>